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 activeTab="3"/>
  </bookViews>
  <sheets>
    <sheet name="2016-17" sheetId="1" r:id="rId1"/>
    <sheet name="2017-18" sheetId="2" r:id="rId2"/>
    <sheet name="2018-19" sheetId="3" r:id="rId3"/>
    <sheet name="2019-2020" sheetId="4" r:id="rId4"/>
  </sheets>
  <definedNames>
    <definedName name="_xlnm.Print_Area" localSheetId="0">'2016-17'!$A$1:$U$20</definedName>
    <definedName name="_xlnm.Print_Area" localSheetId="2">'2018-19'!$A$1:$Y$21</definedName>
  </definedNames>
  <calcPr calcId="125725"/>
</workbook>
</file>

<file path=xl/calcChain.xml><?xml version="1.0" encoding="utf-8"?>
<calcChain xmlns="http://schemas.openxmlformats.org/spreadsheetml/2006/main">
  <c r="X6" i="4"/>
  <c r="W6"/>
  <c r="V6"/>
  <c r="R6"/>
  <c r="O6"/>
  <c r="L6"/>
  <c r="I6"/>
  <c r="K6"/>
  <c r="X5"/>
  <c r="W5"/>
  <c r="R5"/>
  <c r="O5"/>
  <c r="L5"/>
  <c r="K5"/>
  <c r="I5"/>
  <c r="W8"/>
  <c r="R8"/>
  <c r="O8"/>
  <c r="K8"/>
  <c r="X7"/>
  <c r="W7"/>
  <c r="R7"/>
  <c r="O7"/>
  <c r="K7"/>
  <c r="X18"/>
  <c r="X20"/>
  <c r="I20"/>
  <c r="I19"/>
  <c r="W18"/>
  <c r="R18"/>
  <c r="O18"/>
  <c r="K18"/>
  <c r="X8" l="1"/>
  <c r="X12"/>
  <c r="W12"/>
  <c r="R12"/>
  <c r="O12"/>
  <c r="K12"/>
  <c r="I12"/>
  <c r="X10" l="1"/>
  <c r="O10"/>
  <c r="L10"/>
  <c r="K10"/>
  <c r="I10" l="1"/>
  <c r="W10"/>
  <c r="R10"/>
  <c r="X9"/>
  <c r="O9"/>
  <c r="L9"/>
  <c r="K9"/>
  <c r="I9"/>
  <c r="W9"/>
  <c r="R9"/>
  <c r="R11"/>
  <c r="L11"/>
  <c r="I11"/>
  <c r="W14"/>
  <c r="X14" s="1"/>
  <c r="R14"/>
  <c r="O14"/>
  <c r="K14"/>
  <c r="I14"/>
  <c r="W13"/>
  <c r="X13" s="1"/>
  <c r="R13"/>
  <c r="O13"/>
  <c r="K13"/>
  <c r="I13"/>
  <c r="X16"/>
  <c r="W16"/>
  <c r="R16"/>
  <c r="O16"/>
  <c r="K16"/>
  <c r="I16"/>
  <c r="X15"/>
  <c r="W15"/>
  <c r="R15"/>
  <c r="O15"/>
  <c r="K15"/>
  <c r="I15"/>
  <c r="W19"/>
  <c r="R19"/>
  <c r="O19"/>
  <c r="K19"/>
  <c r="X19" s="1"/>
  <c r="W20"/>
  <c r="R20"/>
  <c r="O20"/>
  <c r="K20"/>
  <c r="W11" l="1"/>
  <c r="O11"/>
  <c r="K11"/>
  <c r="X11" l="1"/>
  <c r="L5" i="3"/>
  <c r="L11" l="1"/>
  <c r="I11"/>
  <c r="L6"/>
  <c r="I6"/>
  <c r="I5"/>
  <c r="W7" l="1"/>
  <c r="R7"/>
  <c r="O7"/>
  <c r="L7"/>
  <c r="I7"/>
  <c r="K7"/>
  <c r="O8" l="1"/>
  <c r="L8"/>
  <c r="R8"/>
  <c r="W8"/>
  <c r="K8"/>
  <c r="I8"/>
  <c r="I10" l="1"/>
  <c r="I9"/>
  <c r="L9"/>
  <c r="I12"/>
  <c r="K11"/>
  <c r="W11"/>
  <c r="R11"/>
  <c r="O11"/>
  <c r="X11" l="1"/>
  <c r="I14"/>
  <c r="L15"/>
  <c r="I15"/>
  <c r="I16"/>
  <c r="I13"/>
  <c r="X21"/>
  <c r="W18"/>
  <c r="R18"/>
  <c r="O18"/>
  <c r="K18"/>
  <c r="I18"/>
  <c r="K19"/>
  <c r="L19"/>
  <c r="I19"/>
  <c r="W16"/>
  <c r="R16"/>
  <c r="O16"/>
  <c r="K16"/>
  <c r="W19"/>
  <c r="R19"/>
  <c r="O19"/>
  <c r="X20"/>
  <c r="W15"/>
  <c r="R15"/>
  <c r="O15"/>
  <c r="K15"/>
  <c r="W14"/>
  <c r="R14"/>
  <c r="O14"/>
  <c r="K14"/>
  <c r="W13"/>
  <c r="R13"/>
  <c r="O13"/>
  <c r="K13"/>
  <c r="W12"/>
  <c r="R12"/>
  <c r="O12"/>
  <c r="K12"/>
  <c r="W10"/>
  <c r="R10"/>
  <c r="O10"/>
  <c r="K10"/>
  <c r="W9"/>
  <c r="R9"/>
  <c r="O9"/>
  <c r="K9"/>
  <c r="W6"/>
  <c r="R6"/>
  <c r="O6"/>
  <c r="K6"/>
  <c r="W5"/>
  <c r="R5"/>
  <c r="O5"/>
  <c r="K5"/>
  <c r="I9" i="2"/>
  <c r="I10"/>
  <c r="I7"/>
  <c r="L8"/>
  <c r="L6"/>
  <c r="L5"/>
  <c r="L7"/>
  <c r="O7" s="1"/>
  <c r="I6"/>
  <c r="W5"/>
  <c r="R5"/>
  <c r="O5"/>
  <c r="O6"/>
  <c r="O8"/>
  <c r="O13"/>
  <c r="O14"/>
  <c r="O18"/>
  <c r="I5"/>
  <c r="K5" s="1"/>
  <c r="I8"/>
  <c r="W8"/>
  <c r="W6"/>
  <c r="R8"/>
  <c r="R6"/>
  <c r="K8"/>
  <c r="X8" s="1"/>
  <c r="K6"/>
  <c r="R7"/>
  <c r="W7"/>
  <c r="K7"/>
  <c r="L11"/>
  <c r="O11" s="1"/>
  <c r="L10"/>
  <c r="O10" s="1"/>
  <c r="I15"/>
  <c r="I18"/>
  <c r="K18" s="1"/>
  <c r="X18" s="1"/>
  <c r="I11"/>
  <c r="I13"/>
  <c r="I14"/>
  <c r="L12"/>
  <c r="O12" s="1"/>
  <c r="X12" s="1"/>
  <c r="I12"/>
  <c r="L9"/>
  <c r="O9" s="1"/>
  <c r="W9"/>
  <c r="W10"/>
  <c r="R9"/>
  <c r="R10"/>
  <c r="K9"/>
  <c r="K10"/>
  <c r="K12"/>
  <c r="K13"/>
  <c r="K14"/>
  <c r="R12"/>
  <c r="R13"/>
  <c r="R14"/>
  <c r="W12"/>
  <c r="W13"/>
  <c r="X13" s="1"/>
  <c r="W14"/>
  <c r="X14"/>
  <c r="K11"/>
  <c r="R11"/>
  <c r="V11"/>
  <c r="W11"/>
  <c r="L15"/>
  <c r="O15" s="1"/>
  <c r="W17"/>
  <c r="W18"/>
  <c r="W15"/>
  <c r="R17"/>
  <c r="R18"/>
  <c r="K15"/>
  <c r="X16"/>
  <c r="L17"/>
  <c r="O17" s="1"/>
  <c r="I17"/>
  <c r="K17" s="1"/>
  <c r="R15"/>
  <c r="C16" i="1"/>
  <c r="J16"/>
  <c r="M16" s="1"/>
  <c r="T16" s="1"/>
  <c r="C19"/>
  <c r="C20"/>
  <c r="C18"/>
  <c r="C17"/>
  <c r="C15"/>
  <c r="C14"/>
  <c r="C13"/>
  <c r="C12"/>
  <c r="C11"/>
  <c r="C10"/>
  <c r="C8"/>
  <c r="C9"/>
  <c r="I9" s="1"/>
  <c r="C7"/>
  <c r="C6"/>
  <c r="J19"/>
  <c r="J18"/>
  <c r="M18" s="1"/>
  <c r="J17"/>
  <c r="J15"/>
  <c r="J14"/>
  <c r="J13"/>
  <c r="J12"/>
  <c r="J11"/>
  <c r="J10"/>
  <c r="J9"/>
  <c r="J8"/>
  <c r="J7"/>
  <c r="J6"/>
  <c r="S7"/>
  <c r="S8"/>
  <c r="S9"/>
  <c r="S10"/>
  <c r="S11"/>
  <c r="S12"/>
  <c r="S13"/>
  <c r="S14"/>
  <c r="S15"/>
  <c r="S16"/>
  <c r="S17"/>
  <c r="S18"/>
  <c r="S19"/>
  <c r="S20"/>
  <c r="S6"/>
  <c r="I16"/>
  <c r="M7"/>
  <c r="M8"/>
  <c r="M9"/>
  <c r="M10"/>
  <c r="M11"/>
  <c r="M12"/>
  <c r="M13"/>
  <c r="M14"/>
  <c r="M15"/>
  <c r="M17"/>
  <c r="M19"/>
  <c r="M20"/>
  <c r="M6"/>
  <c r="I7"/>
  <c r="I8"/>
  <c r="I10"/>
  <c r="I11"/>
  <c r="I12"/>
  <c r="I13"/>
  <c r="I14"/>
  <c r="I15"/>
  <c r="I17"/>
  <c r="I18"/>
  <c r="I19"/>
  <c r="I20"/>
  <c r="I6"/>
  <c r="X10" i="3" l="1"/>
  <c r="X16"/>
  <c r="X5"/>
  <c r="X9"/>
  <c r="X12"/>
  <c r="X13"/>
  <c r="X14"/>
  <c r="X19"/>
  <c r="X6"/>
  <c r="X15"/>
  <c r="X17" i="2"/>
  <c r="X9"/>
  <c r="X6"/>
  <c r="X11"/>
  <c r="X10"/>
  <c r="X5"/>
  <c r="X7"/>
  <c r="X15"/>
  <c r="T20" i="1"/>
  <c r="T6"/>
  <c r="T17"/>
  <c r="T15"/>
  <c r="T11"/>
  <c r="T12"/>
  <c r="T8"/>
  <c r="T7"/>
  <c r="T18"/>
  <c r="T13"/>
  <c r="T19"/>
  <c r="T14"/>
  <c r="T10"/>
  <c r="T9"/>
  <c r="U17" l="1"/>
  <c r="U20"/>
  <c r="U19"/>
  <c r="U16"/>
  <c r="U9"/>
  <c r="U18"/>
  <c r="U10"/>
  <c r="U13"/>
  <c r="U15"/>
  <c r="U12"/>
  <c r="U11"/>
  <c r="U14"/>
  <c r="U6"/>
  <c r="U8"/>
  <c r="U7"/>
</calcChain>
</file>

<file path=xl/sharedStrings.xml><?xml version="1.0" encoding="utf-8"?>
<sst xmlns="http://schemas.openxmlformats.org/spreadsheetml/2006/main" count="215" uniqueCount="72">
  <si>
    <t>МБОУ " Мирненская СОШ"</t>
  </si>
  <si>
    <t>МБОУ " Степновская СОШ"</t>
  </si>
  <si>
    <t>МКОУ " Раздольненская СОШ"</t>
  </si>
  <si>
    <t>МКОУ " Первомайская ООШ"</t>
  </si>
  <si>
    <t>МКОУ " Каяушенская ООШ"</t>
  </si>
  <si>
    <t>МКОУ " Новотроицкая ООШ"</t>
  </si>
  <si>
    <t>МКОУ " Красноалтайская ООШ"</t>
  </si>
  <si>
    <t>МКОУ " Шаталовская ООШ"</t>
  </si>
  <si>
    <t>Место</t>
  </si>
  <si>
    <t>Работа школьных музеев, музейных комнат, уголовков трудовой и боевой славы</t>
  </si>
  <si>
    <t>Работа детских организаций</t>
  </si>
  <si>
    <t>Организация волонтерского движения</t>
  </si>
  <si>
    <t>Воспитательная работа</t>
  </si>
  <si>
    <t>Итог по направлению:</t>
  </si>
  <si>
    <t>Спортивные достижения</t>
  </si>
  <si>
    <t>Участие в соревнованиях</t>
  </si>
  <si>
    <t>Работа педагогического коллектива по здоровьесберагающим технологиям</t>
  </si>
  <si>
    <t>Участие обучающихся ОУ в сдаче ГТО</t>
  </si>
  <si>
    <t>Итого по направлению:</t>
  </si>
  <si>
    <t>Охват дополнительным образованием детей (кружковая работа)</t>
  </si>
  <si>
    <t>Дополнительное образование</t>
  </si>
  <si>
    <t>Социальная адаптация</t>
  </si>
  <si>
    <t>Организация горячего питания</t>
  </si>
  <si>
    <t>Организация летней оздоровительной кампании</t>
  </si>
  <si>
    <t>Организация малозатратных форм отдыха (походы, экскурсии, поездки)</t>
  </si>
  <si>
    <t>Общий итог</t>
  </si>
  <si>
    <r>
      <rPr>
        <b/>
        <u/>
        <sz val="22"/>
        <color theme="1"/>
        <rFont val="Times New Roman"/>
        <family val="1"/>
        <charset val="204"/>
      </rPr>
      <t xml:space="preserve">Итого по направлению: </t>
    </r>
    <r>
      <rPr>
        <b/>
        <sz val="22"/>
        <color theme="1"/>
        <rFont val="Times New Roman"/>
        <family val="1"/>
        <charset val="204"/>
      </rPr>
      <t xml:space="preserve"> </t>
    </r>
  </si>
  <si>
    <t>Социально-значимые акции, организованные в текущем году</t>
  </si>
  <si>
    <t>Культурно- массовые мероприятия, организованные в текущем году</t>
  </si>
  <si>
    <t>Учащиеся, занятые в каникулярное время (осенние, весенние и зимние каникулы)</t>
  </si>
  <si>
    <t>Учащиеся, совершившие правонарушения и состоящие на учете в ПДН</t>
  </si>
  <si>
    <t>Наличие уголков, стендов</t>
  </si>
  <si>
    <t>РЕЗУЛЬТАТЫ</t>
  </si>
  <si>
    <t>МБОУ РСОШ №2</t>
  </si>
  <si>
    <t>МБОУ РСОШ №1</t>
  </si>
  <si>
    <t>МКОУ "Степнокучукская СОШ"</t>
  </si>
  <si>
    <t>МКОУ "Покровская СОШ"</t>
  </si>
  <si>
    <t>МКОУ "Кочкинская СОШ"</t>
  </si>
  <si>
    <t>МКОУ "Ярлоговская СОШ"</t>
  </si>
  <si>
    <t>МКОУ "Зеленолуговская СОШ"</t>
  </si>
  <si>
    <t>Итоги воспитательной работы образовательных                                          учреждений Родинского района за 2016 - 2017год</t>
  </si>
  <si>
    <t xml:space="preserve">Участие обучающихся в интеллектуальных, патриотических, творческих конкурсах, смотрах,фестивалях, викторинах </t>
  </si>
  <si>
    <t>Наличие органов ученического самоуправления</t>
  </si>
  <si>
    <t>Охват внеурочной деятельностью (ФГОС)</t>
  </si>
  <si>
    <r>
      <rPr>
        <b/>
        <u/>
        <sz val="22"/>
        <color rgb="FF00B050"/>
        <rFont val="Times New Roman"/>
        <family val="1"/>
        <charset val="204"/>
      </rPr>
      <t xml:space="preserve">Итого по направлению: </t>
    </r>
    <r>
      <rPr>
        <b/>
        <sz val="22"/>
        <color rgb="FF00B050"/>
        <rFont val="Times New Roman"/>
        <family val="1"/>
        <charset val="204"/>
      </rPr>
      <t xml:space="preserve"> </t>
    </r>
  </si>
  <si>
    <t>Итоги воспитательной работы образовательных                                          учреждений Родинского района за 2017 - 2018 год</t>
  </si>
  <si>
    <t>не предоставили портфолио</t>
  </si>
  <si>
    <t>"Раздольненская СОШ" филиал МБОУ "Мирненская СОШ"</t>
  </si>
  <si>
    <t>"Степнокучукская СОШ" филиал МБОУ "Степновская СОШ"</t>
  </si>
  <si>
    <t>"Покровская СОШ" филиал МБОУ "Степновская СОШ"</t>
  </si>
  <si>
    <t>"Кочкинская СОШ" филиал МБОУ "РСОШ №2"</t>
  </si>
  <si>
    <t>"Зеленолуговская ООШ" филиал МБОУ "РСОШ №1"</t>
  </si>
  <si>
    <t>"Ярославцевологовская ООШ" филиал МБОУ "РСОШ №1"</t>
  </si>
  <si>
    <t>"Первомайская ООШ" филиал МБОУ "РСОШ №2"</t>
  </si>
  <si>
    <t>"Каяушенская НОШ" филиал МБОУ "РСОШ №1"</t>
  </si>
  <si>
    <t>"Новотроицкая НОШ" филиал МБОУ "Мирненская СОШ"</t>
  </si>
  <si>
    <t>"Красноалтайская ООШ" филиал МБОУ "РСОШ №2"</t>
  </si>
  <si>
    <t>"Шаталовская ООШ" филиал МБОУ "РСОШ №1"</t>
  </si>
  <si>
    <t>"Разумовская НОШ" филиал МБОУ "Мирненская СОШ"</t>
  </si>
  <si>
    <t>"Зеленодубравинская НОШ" филиал МБОУ "РСОШ №1"</t>
  </si>
  <si>
    <t>Итоги воспитательной работы образовательных                                          учреждений Родинского района за 2018 - 2019 год</t>
  </si>
  <si>
    <t>I</t>
  </si>
  <si>
    <t>II</t>
  </si>
  <si>
    <t>III</t>
  </si>
  <si>
    <t>IV</t>
  </si>
  <si>
    <t>V</t>
  </si>
  <si>
    <t>VI</t>
  </si>
  <si>
    <t>VII</t>
  </si>
  <si>
    <t>VIII</t>
  </si>
  <si>
    <t>Итоги воспитательной работы образовательных                                          учреждений Родинского района за 2019 - 2020 год</t>
  </si>
  <si>
    <t>МБОУ "Мирненская СОШ"</t>
  </si>
  <si>
    <t>МБОУ "Степновская СОШ"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</si>
</sst>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u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2"/>
      <color rgb="FF00B050"/>
      <name val="Times New Roman"/>
      <family val="1"/>
      <charset val="204"/>
    </font>
    <font>
      <b/>
      <u/>
      <sz val="22"/>
      <color rgb="FF00B050"/>
      <name val="Times New Roman"/>
      <family val="1"/>
      <charset val="204"/>
    </font>
    <font>
      <b/>
      <sz val="22"/>
      <color rgb="FF7030A0"/>
      <name val="Times New Roman"/>
      <family val="1"/>
      <charset val="204"/>
    </font>
    <font>
      <b/>
      <i/>
      <sz val="3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4" fillId="5" borderId="1" xfId="0" applyFont="1" applyFill="1" applyBorder="1"/>
    <xf numFmtId="0" fontId="3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/>
    <xf numFmtId="0" fontId="3" fillId="2" borderId="1" xfId="0" applyFont="1" applyFill="1" applyBorder="1"/>
    <xf numFmtId="0" fontId="8" fillId="2" borderId="1" xfId="0" applyFont="1" applyFill="1" applyBorder="1"/>
    <xf numFmtId="0" fontId="8" fillId="3" borderId="1" xfId="0" applyFont="1" applyFill="1" applyBorder="1"/>
    <xf numFmtId="0" fontId="8" fillId="5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15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4" xfId="0" applyFill="1" applyBorder="1" applyAlignment="1"/>
    <xf numFmtId="0" fontId="0" fillId="3" borderId="5" xfId="0" applyFill="1" applyBorder="1" applyAlignment="1"/>
    <xf numFmtId="0" fontId="3" fillId="5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20"/>
  <sheetViews>
    <sheetView view="pageBreakPreview" zoomScale="40" zoomScaleSheetLayoutView="40" zoomScalePageLayoutView="30" workbookViewId="0">
      <selection activeCell="R7" sqref="R7"/>
    </sheetView>
  </sheetViews>
  <sheetFormatPr defaultRowHeight="26.25"/>
  <cols>
    <col min="1" max="1" width="68.5703125" style="1" customWidth="1"/>
    <col min="2" max="2" width="35" style="2" bestFit="1" customWidth="1"/>
    <col min="3" max="3" width="35.28515625" style="2" bestFit="1" customWidth="1"/>
    <col min="4" max="4" width="50.5703125" style="2" bestFit="1" customWidth="1"/>
    <col min="5" max="5" width="28" style="2" customWidth="1"/>
    <col min="6" max="10" width="16.5703125" style="2" customWidth="1"/>
    <col min="11" max="11" width="28" style="2" bestFit="1" customWidth="1"/>
    <col min="12" max="12" width="18.7109375" style="2" bestFit="1" customWidth="1"/>
    <col min="13" max="13" width="12" style="2" customWidth="1"/>
    <col min="14" max="14" width="60.28515625" style="2" customWidth="1"/>
    <col min="15" max="15" width="16.5703125" style="2" customWidth="1"/>
    <col min="16" max="16" width="32.7109375" style="2" bestFit="1" customWidth="1"/>
    <col min="17" max="17" width="23.42578125" style="2" bestFit="1" customWidth="1"/>
    <col min="18" max="18" width="32.7109375" style="2" bestFit="1" customWidth="1"/>
    <col min="19" max="19" width="16.5703125" style="2" customWidth="1"/>
    <col min="20" max="20" width="55.7109375" style="2" customWidth="1"/>
    <col min="21" max="21" width="46" style="2" customWidth="1"/>
    <col min="22" max="32" width="16.5703125" style="2" customWidth="1"/>
    <col min="33" max="16384" width="9.140625" style="1"/>
  </cols>
  <sheetData>
    <row r="2" spans="1:32" ht="37.5">
      <c r="A2" s="65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37.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 ht="60" customHeight="1">
      <c r="A4" s="8"/>
      <c r="B4" s="67" t="s">
        <v>12</v>
      </c>
      <c r="C4" s="68"/>
      <c r="D4" s="68"/>
      <c r="E4" s="68"/>
      <c r="F4" s="68"/>
      <c r="G4" s="68"/>
      <c r="H4" s="68"/>
      <c r="I4" s="68"/>
      <c r="J4" s="69" t="s">
        <v>14</v>
      </c>
      <c r="K4" s="70"/>
      <c r="L4" s="70"/>
      <c r="M4" s="70"/>
      <c r="N4" s="10" t="s">
        <v>20</v>
      </c>
      <c r="O4" s="69" t="s">
        <v>21</v>
      </c>
      <c r="P4" s="68"/>
      <c r="Q4" s="68"/>
      <c r="R4" s="68"/>
      <c r="S4" s="68"/>
      <c r="T4" s="69" t="s">
        <v>32</v>
      </c>
      <c r="U4" s="68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255" customHeight="1">
      <c r="A5" s="3"/>
      <c r="B5" s="4" t="s">
        <v>27</v>
      </c>
      <c r="C5" s="4" t="s">
        <v>28</v>
      </c>
      <c r="D5" s="4" t="s">
        <v>29</v>
      </c>
      <c r="E5" s="4" t="s">
        <v>9</v>
      </c>
      <c r="F5" s="4" t="s">
        <v>31</v>
      </c>
      <c r="G5" s="4" t="s">
        <v>10</v>
      </c>
      <c r="H5" s="4" t="s">
        <v>11</v>
      </c>
      <c r="I5" s="6" t="s">
        <v>13</v>
      </c>
      <c r="J5" s="4" t="s">
        <v>15</v>
      </c>
      <c r="K5" s="4" t="s">
        <v>16</v>
      </c>
      <c r="L5" s="4" t="s">
        <v>17</v>
      </c>
      <c r="M5" s="6" t="s">
        <v>18</v>
      </c>
      <c r="N5" s="7" t="s">
        <v>19</v>
      </c>
      <c r="O5" s="4" t="s">
        <v>22</v>
      </c>
      <c r="P5" s="4" t="s">
        <v>30</v>
      </c>
      <c r="Q5" s="4" t="s">
        <v>23</v>
      </c>
      <c r="R5" s="4" t="s">
        <v>24</v>
      </c>
      <c r="S5" s="4" t="s">
        <v>26</v>
      </c>
      <c r="T5" s="5" t="s">
        <v>25</v>
      </c>
      <c r="U5" s="5" t="s">
        <v>8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63" customHeight="1">
      <c r="A6" s="12" t="s">
        <v>34</v>
      </c>
      <c r="B6" s="12">
        <v>12</v>
      </c>
      <c r="C6" s="16">
        <f>5+10+4+15+20+17+8+6+11+11+29+6+97+57+15+0+29+3+6+3+212+207+0+3+9</f>
        <v>783</v>
      </c>
      <c r="D6" s="17">
        <v>4</v>
      </c>
      <c r="E6" s="12">
        <v>4</v>
      </c>
      <c r="F6" s="12">
        <v>8</v>
      </c>
      <c r="G6" s="12">
        <v>4</v>
      </c>
      <c r="H6" s="12">
        <v>5</v>
      </c>
      <c r="I6" s="15">
        <f t="shared" ref="I6:I20" si="0">SUM(B6:H6)</f>
        <v>820</v>
      </c>
      <c r="J6" s="12">
        <f>6+179</f>
        <v>185</v>
      </c>
      <c r="K6" s="16">
        <v>0</v>
      </c>
      <c r="L6" s="16">
        <v>3</v>
      </c>
      <c r="M6" s="15">
        <f>SUM(J6:L6)</f>
        <v>188</v>
      </c>
      <c r="N6" s="18">
        <v>2</v>
      </c>
      <c r="O6" s="12">
        <v>4</v>
      </c>
      <c r="P6" s="12">
        <v>-6</v>
      </c>
      <c r="Q6" s="12">
        <v>5</v>
      </c>
      <c r="R6" s="12">
        <v>252</v>
      </c>
      <c r="S6" s="12">
        <f>SUM(O6:R6)</f>
        <v>255</v>
      </c>
      <c r="T6" s="12">
        <f>I6+M6+N6+S6</f>
        <v>1265</v>
      </c>
      <c r="U6" s="11">
        <f>RANK(T6,$T$6:$T$9,0)</f>
        <v>1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63" customHeight="1">
      <c r="A7" s="12" t="s">
        <v>33</v>
      </c>
      <c r="B7" s="12">
        <v>5</v>
      </c>
      <c r="C7" s="16">
        <f>5+9+5+16+21+41+7+18+48+6+140+42+8+41+6+11+70+13+52+3+9</f>
        <v>571</v>
      </c>
      <c r="D7" s="17">
        <v>4</v>
      </c>
      <c r="E7" s="12">
        <v>5</v>
      </c>
      <c r="F7" s="12">
        <v>8</v>
      </c>
      <c r="G7" s="12">
        <v>5</v>
      </c>
      <c r="H7" s="12">
        <v>5</v>
      </c>
      <c r="I7" s="15">
        <f t="shared" si="0"/>
        <v>603</v>
      </c>
      <c r="J7" s="12">
        <f>5+108</f>
        <v>113</v>
      </c>
      <c r="K7" s="16">
        <v>0</v>
      </c>
      <c r="L7" s="16">
        <v>7</v>
      </c>
      <c r="M7" s="15">
        <f t="shared" ref="M7:M20" si="1">SUM(J7:L7)</f>
        <v>120</v>
      </c>
      <c r="N7" s="18">
        <v>2</v>
      </c>
      <c r="O7" s="12">
        <v>4</v>
      </c>
      <c r="P7" s="12">
        <v>-8</v>
      </c>
      <c r="Q7" s="12">
        <v>5</v>
      </c>
      <c r="R7" s="16">
        <v>40</v>
      </c>
      <c r="S7" s="12">
        <f t="shared" ref="S7:S20" si="2">SUM(O7:R7)</f>
        <v>41</v>
      </c>
      <c r="T7" s="12">
        <f t="shared" ref="T7:T20" si="3">I7+M7+N7+S7</f>
        <v>766</v>
      </c>
      <c r="U7" s="12">
        <f t="shared" ref="U7:U9" si="4">RANK(T7,$T$6:$T$20,0)</f>
        <v>3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63" customHeight="1">
      <c r="A8" s="12" t="s">
        <v>0</v>
      </c>
      <c r="B8" s="12">
        <v>2</v>
      </c>
      <c r="C8" s="16">
        <f>4+4+1+15+8+6+23+28+4+22+23+23+14+5+3+54+7+3+3</f>
        <v>250</v>
      </c>
      <c r="D8" s="17">
        <v>4</v>
      </c>
      <c r="E8" s="12">
        <v>0</v>
      </c>
      <c r="F8" s="12">
        <v>8</v>
      </c>
      <c r="G8" s="12">
        <v>3</v>
      </c>
      <c r="H8" s="12">
        <v>5</v>
      </c>
      <c r="I8" s="15">
        <f t="shared" si="0"/>
        <v>272</v>
      </c>
      <c r="J8" s="12">
        <f>4+55</f>
        <v>59</v>
      </c>
      <c r="K8" s="16">
        <v>0</v>
      </c>
      <c r="L8" s="16">
        <v>3</v>
      </c>
      <c r="M8" s="15">
        <f t="shared" si="1"/>
        <v>62</v>
      </c>
      <c r="N8" s="18">
        <v>2</v>
      </c>
      <c r="O8" s="12">
        <v>4</v>
      </c>
      <c r="P8" s="12">
        <v>-8</v>
      </c>
      <c r="Q8" s="12">
        <v>5</v>
      </c>
      <c r="R8" s="12">
        <v>168</v>
      </c>
      <c r="S8" s="12">
        <f t="shared" si="2"/>
        <v>169</v>
      </c>
      <c r="T8" s="12">
        <f t="shared" si="3"/>
        <v>505</v>
      </c>
      <c r="U8" s="12">
        <f t="shared" si="4"/>
        <v>4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63" customHeight="1">
      <c r="A9" s="12" t="s">
        <v>1</v>
      </c>
      <c r="B9" s="12">
        <v>3</v>
      </c>
      <c r="C9" s="16">
        <f>4+8+1+24+14+9+5+147+3+11+4+106+7+6</f>
        <v>349</v>
      </c>
      <c r="D9" s="17">
        <v>4</v>
      </c>
      <c r="E9" s="12">
        <v>4</v>
      </c>
      <c r="F9" s="17">
        <v>8</v>
      </c>
      <c r="G9" s="17">
        <v>3</v>
      </c>
      <c r="H9" s="12">
        <v>2</v>
      </c>
      <c r="I9" s="15">
        <f t="shared" si="0"/>
        <v>373</v>
      </c>
      <c r="J9" s="12">
        <f>3+296</f>
        <v>299</v>
      </c>
      <c r="K9" s="16">
        <v>0</v>
      </c>
      <c r="L9" s="16">
        <v>3</v>
      </c>
      <c r="M9" s="15">
        <f t="shared" si="1"/>
        <v>302</v>
      </c>
      <c r="N9" s="18">
        <v>0</v>
      </c>
      <c r="O9" s="12">
        <v>4</v>
      </c>
      <c r="P9" s="12">
        <v>-2</v>
      </c>
      <c r="Q9" s="12">
        <v>4</v>
      </c>
      <c r="R9" s="12">
        <v>180</v>
      </c>
      <c r="S9" s="12">
        <f t="shared" si="2"/>
        <v>186</v>
      </c>
      <c r="T9" s="12">
        <f t="shared" si="3"/>
        <v>861</v>
      </c>
      <c r="U9" s="12">
        <f t="shared" si="4"/>
        <v>2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63" customHeight="1">
      <c r="A10" s="13" t="s">
        <v>2</v>
      </c>
      <c r="B10" s="13">
        <v>2</v>
      </c>
      <c r="C10" s="19">
        <f>4+6+9+28+4+9+5+80+3</f>
        <v>148</v>
      </c>
      <c r="D10" s="20">
        <v>4</v>
      </c>
      <c r="E10" s="13">
        <v>4</v>
      </c>
      <c r="F10" s="13">
        <v>8</v>
      </c>
      <c r="G10" s="13">
        <v>3</v>
      </c>
      <c r="H10" s="13">
        <v>2</v>
      </c>
      <c r="I10" s="21">
        <f t="shared" si="0"/>
        <v>171</v>
      </c>
      <c r="J10" s="13">
        <f>5+77</f>
        <v>82</v>
      </c>
      <c r="K10" s="19">
        <v>0</v>
      </c>
      <c r="L10" s="19">
        <v>2</v>
      </c>
      <c r="M10" s="21">
        <f t="shared" si="1"/>
        <v>84</v>
      </c>
      <c r="N10" s="22">
        <v>1</v>
      </c>
      <c r="O10" s="13">
        <v>5</v>
      </c>
      <c r="P10" s="13">
        <v>0</v>
      </c>
      <c r="Q10" s="13">
        <v>5</v>
      </c>
      <c r="R10" s="13">
        <v>106</v>
      </c>
      <c r="S10" s="13">
        <f t="shared" si="2"/>
        <v>116</v>
      </c>
      <c r="T10" s="13">
        <f t="shared" si="3"/>
        <v>372</v>
      </c>
      <c r="U10" s="13">
        <f>RANK(T10,$T$10:$T$15,0)</f>
        <v>2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63" customHeight="1">
      <c r="A11" s="13" t="s">
        <v>35</v>
      </c>
      <c r="B11" s="13">
        <v>2</v>
      </c>
      <c r="C11" s="19">
        <f>5+6+3+41+6+16+18+24+8+23+3</f>
        <v>153</v>
      </c>
      <c r="D11" s="20">
        <v>5</v>
      </c>
      <c r="E11" s="13">
        <v>0</v>
      </c>
      <c r="F11" s="13">
        <v>8</v>
      </c>
      <c r="G11" s="13">
        <v>3</v>
      </c>
      <c r="H11" s="13">
        <v>2</v>
      </c>
      <c r="I11" s="21">
        <f t="shared" si="0"/>
        <v>173</v>
      </c>
      <c r="J11" s="13">
        <f>0+73</f>
        <v>73</v>
      </c>
      <c r="K11" s="19">
        <v>4</v>
      </c>
      <c r="L11" s="19">
        <v>3</v>
      </c>
      <c r="M11" s="21">
        <f t="shared" si="1"/>
        <v>80</v>
      </c>
      <c r="N11" s="22">
        <v>3</v>
      </c>
      <c r="O11" s="13">
        <v>4</v>
      </c>
      <c r="P11" s="13">
        <v>5</v>
      </c>
      <c r="Q11" s="13">
        <v>5</v>
      </c>
      <c r="R11" s="19">
        <v>48</v>
      </c>
      <c r="S11" s="13">
        <f t="shared" si="2"/>
        <v>62</v>
      </c>
      <c r="T11" s="13">
        <f t="shared" si="3"/>
        <v>318</v>
      </c>
      <c r="U11" s="13">
        <f t="shared" ref="U11:U15" si="5">RANK(T11,$T$10:$T$15,0)</f>
        <v>4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63" customHeight="1">
      <c r="A12" s="13" t="s">
        <v>36</v>
      </c>
      <c r="B12" s="13">
        <v>4</v>
      </c>
      <c r="C12" s="19">
        <f>5+4+34+3+16+3+118+6+81+5+3</f>
        <v>278</v>
      </c>
      <c r="D12" s="20">
        <v>4</v>
      </c>
      <c r="E12" s="13">
        <v>3</v>
      </c>
      <c r="F12" s="13">
        <v>7</v>
      </c>
      <c r="G12" s="13">
        <v>4</v>
      </c>
      <c r="H12" s="13">
        <v>2</v>
      </c>
      <c r="I12" s="21">
        <f t="shared" si="0"/>
        <v>302</v>
      </c>
      <c r="J12" s="13">
        <f>6+32</f>
        <v>38</v>
      </c>
      <c r="K12" s="19">
        <v>4</v>
      </c>
      <c r="L12" s="19">
        <v>3</v>
      </c>
      <c r="M12" s="21">
        <f t="shared" si="1"/>
        <v>45</v>
      </c>
      <c r="N12" s="22">
        <v>2</v>
      </c>
      <c r="O12" s="13">
        <v>5</v>
      </c>
      <c r="P12" s="13">
        <v>-6</v>
      </c>
      <c r="Q12" s="13">
        <v>3</v>
      </c>
      <c r="R12" s="13">
        <v>66</v>
      </c>
      <c r="S12" s="13">
        <f t="shared" si="2"/>
        <v>68</v>
      </c>
      <c r="T12" s="13">
        <f t="shared" si="3"/>
        <v>417</v>
      </c>
      <c r="U12" s="14">
        <f>RANK(T12,$T$10:$T$15,0)</f>
        <v>1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63" customHeight="1">
      <c r="A13" s="13" t="s">
        <v>37</v>
      </c>
      <c r="B13" s="13">
        <v>4</v>
      </c>
      <c r="C13" s="19">
        <f>5+3+15+6+7+3+14+175+62+3</f>
        <v>293</v>
      </c>
      <c r="D13" s="20">
        <v>5</v>
      </c>
      <c r="E13" s="13">
        <v>2</v>
      </c>
      <c r="F13" s="13">
        <v>14</v>
      </c>
      <c r="G13" s="13">
        <v>4</v>
      </c>
      <c r="H13" s="13">
        <v>2</v>
      </c>
      <c r="I13" s="21">
        <f t="shared" si="0"/>
        <v>324</v>
      </c>
      <c r="J13" s="13">
        <f>3+9</f>
        <v>12</v>
      </c>
      <c r="K13" s="19">
        <v>0</v>
      </c>
      <c r="L13" s="19">
        <v>2</v>
      </c>
      <c r="M13" s="21">
        <f t="shared" si="1"/>
        <v>14</v>
      </c>
      <c r="N13" s="22">
        <v>2</v>
      </c>
      <c r="O13" s="13">
        <v>5</v>
      </c>
      <c r="P13" s="13">
        <v>5</v>
      </c>
      <c r="Q13" s="13">
        <v>2</v>
      </c>
      <c r="R13" s="13">
        <v>0</v>
      </c>
      <c r="S13" s="13">
        <f t="shared" si="2"/>
        <v>12</v>
      </c>
      <c r="T13" s="13">
        <f t="shared" si="3"/>
        <v>352</v>
      </c>
      <c r="U13" s="13">
        <f t="shared" si="5"/>
        <v>3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63" customHeight="1">
      <c r="A14" s="13" t="s">
        <v>38</v>
      </c>
      <c r="B14" s="13">
        <v>2</v>
      </c>
      <c r="C14" s="19">
        <f>5+3+12+6+12+5+19+5+43+3</f>
        <v>113</v>
      </c>
      <c r="D14" s="20">
        <v>3</v>
      </c>
      <c r="E14" s="13">
        <v>2</v>
      </c>
      <c r="F14" s="13">
        <v>8</v>
      </c>
      <c r="G14" s="13">
        <v>3</v>
      </c>
      <c r="H14" s="13">
        <v>1</v>
      </c>
      <c r="I14" s="21">
        <f t="shared" si="0"/>
        <v>132</v>
      </c>
      <c r="J14" s="13">
        <f>0+5</f>
        <v>5</v>
      </c>
      <c r="K14" s="19">
        <v>4</v>
      </c>
      <c r="L14" s="19">
        <v>2</v>
      </c>
      <c r="M14" s="21">
        <f t="shared" si="1"/>
        <v>11</v>
      </c>
      <c r="N14" s="22">
        <v>2</v>
      </c>
      <c r="O14" s="13">
        <v>5</v>
      </c>
      <c r="P14" s="13">
        <v>-4</v>
      </c>
      <c r="Q14" s="13">
        <v>5</v>
      </c>
      <c r="R14" s="13">
        <v>84</v>
      </c>
      <c r="S14" s="13">
        <f t="shared" si="2"/>
        <v>90</v>
      </c>
      <c r="T14" s="13">
        <f t="shared" si="3"/>
        <v>235</v>
      </c>
      <c r="U14" s="13">
        <f t="shared" si="5"/>
        <v>5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63" customHeight="1">
      <c r="A15" s="13" t="s">
        <v>39</v>
      </c>
      <c r="B15" s="13">
        <v>2</v>
      </c>
      <c r="C15" s="19">
        <f>5+3+3+8+5+15+5+4+3</f>
        <v>51</v>
      </c>
      <c r="D15" s="20">
        <v>3</v>
      </c>
      <c r="E15" s="13">
        <v>0</v>
      </c>
      <c r="F15" s="13">
        <v>8</v>
      </c>
      <c r="G15" s="13">
        <v>2</v>
      </c>
      <c r="H15" s="13">
        <v>1</v>
      </c>
      <c r="I15" s="21">
        <f t="shared" si="0"/>
        <v>67</v>
      </c>
      <c r="J15" s="13">
        <f>4+25</f>
        <v>29</v>
      </c>
      <c r="K15" s="19">
        <v>0</v>
      </c>
      <c r="L15" s="19">
        <v>2</v>
      </c>
      <c r="M15" s="21">
        <f t="shared" si="1"/>
        <v>31</v>
      </c>
      <c r="N15" s="22">
        <v>1</v>
      </c>
      <c r="O15" s="13">
        <v>4</v>
      </c>
      <c r="P15" s="13">
        <v>5</v>
      </c>
      <c r="Q15" s="13">
        <v>5</v>
      </c>
      <c r="R15" s="13">
        <v>14</v>
      </c>
      <c r="S15" s="13">
        <f t="shared" si="2"/>
        <v>28</v>
      </c>
      <c r="T15" s="13">
        <f t="shared" si="3"/>
        <v>127</v>
      </c>
      <c r="U15" s="13">
        <f t="shared" si="5"/>
        <v>6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63" customHeight="1">
      <c r="A16" s="23" t="s">
        <v>3</v>
      </c>
      <c r="B16" s="23">
        <v>5</v>
      </c>
      <c r="C16" s="24">
        <f>5+3+20+5+48+5+45+6+6+4</f>
        <v>147</v>
      </c>
      <c r="D16" s="25">
        <v>5</v>
      </c>
      <c r="E16" s="23">
        <v>2</v>
      </c>
      <c r="F16" s="23">
        <v>8</v>
      </c>
      <c r="G16" s="23">
        <v>4</v>
      </c>
      <c r="H16" s="23">
        <v>1</v>
      </c>
      <c r="I16" s="26">
        <f t="shared" si="0"/>
        <v>172</v>
      </c>
      <c r="J16" s="23">
        <f>0+55</f>
        <v>55</v>
      </c>
      <c r="K16" s="24">
        <v>4</v>
      </c>
      <c r="L16" s="24">
        <v>2</v>
      </c>
      <c r="M16" s="26">
        <f t="shared" si="1"/>
        <v>61</v>
      </c>
      <c r="N16" s="27">
        <v>3</v>
      </c>
      <c r="O16" s="23">
        <v>5</v>
      </c>
      <c r="P16" s="23">
        <v>5</v>
      </c>
      <c r="Q16" s="23">
        <v>5</v>
      </c>
      <c r="R16" s="23">
        <v>0</v>
      </c>
      <c r="S16" s="23">
        <f t="shared" si="2"/>
        <v>15</v>
      </c>
      <c r="T16" s="23">
        <f>I16+M16+N16+S16</f>
        <v>251</v>
      </c>
      <c r="U16" s="23">
        <f>RANK(T16,$T$16:$T$20,0)</f>
        <v>2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63" customHeight="1">
      <c r="A17" s="23" t="s">
        <v>4</v>
      </c>
      <c r="B17" s="23">
        <v>2</v>
      </c>
      <c r="C17" s="24">
        <f>4+2+12+4+3+17+3+4+3</f>
        <v>52</v>
      </c>
      <c r="D17" s="25">
        <v>4</v>
      </c>
      <c r="E17" s="23">
        <v>1</v>
      </c>
      <c r="F17" s="23">
        <v>2</v>
      </c>
      <c r="G17" s="23">
        <v>4</v>
      </c>
      <c r="H17" s="23">
        <v>1</v>
      </c>
      <c r="I17" s="26">
        <f t="shared" si="0"/>
        <v>66</v>
      </c>
      <c r="J17" s="23">
        <f>6+18</f>
        <v>24</v>
      </c>
      <c r="K17" s="24">
        <v>4</v>
      </c>
      <c r="L17" s="24">
        <v>2</v>
      </c>
      <c r="M17" s="26">
        <f t="shared" si="1"/>
        <v>30</v>
      </c>
      <c r="N17" s="27">
        <v>3</v>
      </c>
      <c r="O17" s="23">
        <v>5</v>
      </c>
      <c r="P17" s="23">
        <v>-2</v>
      </c>
      <c r="Q17" s="23">
        <v>1</v>
      </c>
      <c r="R17" s="23">
        <v>0</v>
      </c>
      <c r="S17" s="23">
        <f t="shared" si="2"/>
        <v>4</v>
      </c>
      <c r="T17" s="23">
        <f t="shared" si="3"/>
        <v>103</v>
      </c>
      <c r="U17" s="23">
        <f t="shared" ref="U17:U20" si="6">RANK(T17,$T$16:$T$20,0)</f>
        <v>4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63" customHeight="1">
      <c r="A18" s="23" t="s">
        <v>5</v>
      </c>
      <c r="B18" s="23">
        <v>4</v>
      </c>
      <c r="C18" s="24">
        <f>5+3+19+9+3+7+4+6+10+6</f>
        <v>72</v>
      </c>
      <c r="D18" s="25">
        <v>5</v>
      </c>
      <c r="E18" s="23">
        <v>2</v>
      </c>
      <c r="F18" s="23">
        <v>6</v>
      </c>
      <c r="G18" s="23">
        <v>3</v>
      </c>
      <c r="H18" s="23">
        <v>1</v>
      </c>
      <c r="I18" s="26">
        <f t="shared" si="0"/>
        <v>93</v>
      </c>
      <c r="J18" s="23">
        <f>4+19</f>
        <v>23</v>
      </c>
      <c r="K18" s="24">
        <v>4</v>
      </c>
      <c r="L18" s="24">
        <v>2</v>
      </c>
      <c r="M18" s="26">
        <f t="shared" si="1"/>
        <v>29</v>
      </c>
      <c r="N18" s="27">
        <v>3</v>
      </c>
      <c r="O18" s="23">
        <v>5</v>
      </c>
      <c r="P18" s="23">
        <v>5</v>
      </c>
      <c r="Q18" s="23">
        <v>1</v>
      </c>
      <c r="R18" s="23">
        <v>6</v>
      </c>
      <c r="S18" s="23">
        <f t="shared" si="2"/>
        <v>17</v>
      </c>
      <c r="T18" s="23">
        <f t="shared" si="3"/>
        <v>142</v>
      </c>
      <c r="U18" s="23">
        <f t="shared" si="6"/>
        <v>3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63" customHeight="1">
      <c r="A19" s="23" t="s">
        <v>6</v>
      </c>
      <c r="B19" s="23">
        <v>2</v>
      </c>
      <c r="C19" s="24">
        <f>5+3+25+26+5+3+13+6+22+3+57+53+3</f>
        <v>224</v>
      </c>
      <c r="D19" s="25">
        <v>4</v>
      </c>
      <c r="E19" s="23">
        <v>3</v>
      </c>
      <c r="F19" s="23">
        <v>4</v>
      </c>
      <c r="G19" s="23">
        <v>3</v>
      </c>
      <c r="H19" s="23">
        <v>1</v>
      </c>
      <c r="I19" s="26">
        <f t="shared" si="0"/>
        <v>241</v>
      </c>
      <c r="J19" s="23">
        <f>3+27</f>
        <v>30</v>
      </c>
      <c r="K19" s="24">
        <v>4</v>
      </c>
      <c r="L19" s="24">
        <v>2</v>
      </c>
      <c r="M19" s="26">
        <f t="shared" si="1"/>
        <v>36</v>
      </c>
      <c r="N19" s="27">
        <v>3</v>
      </c>
      <c r="O19" s="23">
        <v>5</v>
      </c>
      <c r="P19" s="23">
        <v>5</v>
      </c>
      <c r="Q19" s="23">
        <v>1</v>
      </c>
      <c r="R19" s="23">
        <v>6</v>
      </c>
      <c r="S19" s="23">
        <f t="shared" si="2"/>
        <v>17</v>
      </c>
      <c r="T19" s="23">
        <f t="shared" si="3"/>
        <v>297</v>
      </c>
      <c r="U19" s="28">
        <f t="shared" si="6"/>
        <v>1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63" customHeight="1">
      <c r="A20" s="23" t="s">
        <v>7</v>
      </c>
      <c r="B20" s="23">
        <v>1</v>
      </c>
      <c r="C20" s="24">
        <f>4+1+3+18+3+6+3+0</f>
        <v>38</v>
      </c>
      <c r="D20" s="25">
        <v>5</v>
      </c>
      <c r="E20" s="25">
        <v>0</v>
      </c>
      <c r="F20" s="23">
        <v>8</v>
      </c>
      <c r="G20" s="23">
        <v>3</v>
      </c>
      <c r="H20" s="23">
        <v>1</v>
      </c>
      <c r="I20" s="26">
        <f t="shared" si="0"/>
        <v>56</v>
      </c>
      <c r="J20" s="23">
        <v>5</v>
      </c>
      <c r="K20" s="24">
        <v>0</v>
      </c>
      <c r="L20" s="24">
        <v>2</v>
      </c>
      <c r="M20" s="26">
        <f t="shared" si="1"/>
        <v>7</v>
      </c>
      <c r="N20" s="27">
        <v>3</v>
      </c>
      <c r="O20" s="23">
        <v>5</v>
      </c>
      <c r="P20" s="23">
        <v>5</v>
      </c>
      <c r="Q20" s="23">
        <v>0</v>
      </c>
      <c r="R20" s="23">
        <v>0</v>
      </c>
      <c r="S20" s="23">
        <f t="shared" si="2"/>
        <v>10</v>
      </c>
      <c r="T20" s="23">
        <f t="shared" si="3"/>
        <v>76</v>
      </c>
      <c r="U20" s="23">
        <f t="shared" si="6"/>
        <v>5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</sheetData>
  <mergeCells count="5">
    <mergeCell ref="A2:AF2"/>
    <mergeCell ref="B4:I4"/>
    <mergeCell ref="J4:M4"/>
    <mergeCell ref="O4:S4"/>
    <mergeCell ref="T4:U4"/>
  </mergeCells>
  <pageMargins left="0.25" right="0.25" top="0.11625000000000001" bottom="0.42625000000000002" header="0.3" footer="0.3"/>
  <pageSetup paperSize="9" scale="53" fitToWidth="0" fitToHeight="0" orientation="landscape" r:id="rId1"/>
  <rowBreaks count="1" manualBreakCount="1">
    <brk id="11" max="22" man="1"/>
  </rowBreaks>
  <colBreaks count="3" manualBreakCount="3">
    <brk id="8" max="18" man="1"/>
    <brk id="14" max="18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F19"/>
  <sheetViews>
    <sheetView zoomScale="40" zoomScaleNormal="40" workbookViewId="0">
      <selection activeCell="Y12" sqref="Y12"/>
    </sheetView>
  </sheetViews>
  <sheetFormatPr defaultRowHeight="15"/>
  <cols>
    <col min="1" max="1" width="70.85546875" customWidth="1"/>
    <col min="2" max="2" width="15.28515625" customWidth="1"/>
    <col min="3" max="3" width="17.28515625" customWidth="1"/>
    <col min="4" max="4" width="15.85546875" customWidth="1"/>
    <col min="5" max="5" width="14.5703125" customWidth="1"/>
    <col min="6" max="6" width="12.7109375" customWidth="1"/>
    <col min="9" max="9" width="17.28515625" customWidth="1"/>
    <col min="11" max="11" width="13.140625" customWidth="1"/>
    <col min="12" max="12" width="15.140625" customWidth="1"/>
    <col min="13" max="14" width="18.42578125" customWidth="1"/>
    <col min="15" max="15" width="23.7109375" customWidth="1"/>
    <col min="16" max="16" width="48.5703125" customWidth="1"/>
    <col min="19" max="19" width="11.7109375" customWidth="1"/>
    <col min="20" max="20" width="17" customWidth="1"/>
    <col min="22" max="22" width="10.85546875" customWidth="1"/>
    <col min="23" max="23" width="14.140625" customWidth="1"/>
    <col min="25" max="25" width="29.7109375" customWidth="1"/>
    <col min="26" max="26" width="5.28515625" hidden="1" customWidth="1"/>
    <col min="27" max="27" width="9.140625" hidden="1" customWidth="1"/>
    <col min="28" max="28" width="4.28515625" hidden="1" customWidth="1"/>
    <col min="29" max="32" width="9.140625" hidden="1" customWidth="1"/>
  </cols>
  <sheetData>
    <row r="1" spans="1:32" ht="27">
      <c r="A1" s="75" t="s">
        <v>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</row>
    <row r="3" spans="1:32" ht="33">
      <c r="A3" s="8"/>
      <c r="B3" s="67" t="s">
        <v>12</v>
      </c>
      <c r="C3" s="67"/>
      <c r="D3" s="67"/>
      <c r="E3" s="67"/>
      <c r="F3" s="67"/>
      <c r="G3" s="67"/>
      <c r="H3" s="67"/>
      <c r="I3" s="67"/>
      <c r="J3" s="74"/>
      <c r="K3" s="74"/>
      <c r="L3" s="76" t="s">
        <v>14</v>
      </c>
      <c r="M3" s="77"/>
      <c r="N3" s="77"/>
      <c r="O3" s="78"/>
      <c r="P3" s="69" t="s">
        <v>20</v>
      </c>
      <c r="Q3" s="74"/>
      <c r="R3" s="74"/>
      <c r="S3" s="69" t="s">
        <v>21</v>
      </c>
      <c r="T3" s="68"/>
      <c r="U3" s="68"/>
      <c r="V3" s="68"/>
      <c r="W3" s="68"/>
      <c r="X3" s="69" t="s">
        <v>32</v>
      </c>
      <c r="Y3" s="68"/>
    </row>
    <row r="4" spans="1:32" ht="409.5">
      <c r="A4" s="3"/>
      <c r="B4" s="4" t="s">
        <v>27</v>
      </c>
      <c r="C4" s="4" t="s">
        <v>28</v>
      </c>
      <c r="D4" s="4" t="s">
        <v>29</v>
      </c>
      <c r="E4" s="4" t="s">
        <v>9</v>
      </c>
      <c r="F4" s="4" t="s">
        <v>31</v>
      </c>
      <c r="G4" s="4" t="s">
        <v>10</v>
      </c>
      <c r="H4" s="4" t="s">
        <v>11</v>
      </c>
      <c r="I4" s="4" t="s">
        <v>41</v>
      </c>
      <c r="J4" s="32" t="s">
        <v>42</v>
      </c>
      <c r="K4" s="40" t="s">
        <v>18</v>
      </c>
      <c r="L4" s="4" t="s">
        <v>15</v>
      </c>
      <c r="M4" s="4" t="s">
        <v>16</v>
      </c>
      <c r="N4" s="4" t="s">
        <v>17</v>
      </c>
      <c r="O4" s="6" t="s">
        <v>18</v>
      </c>
      <c r="P4" s="42" t="s">
        <v>19</v>
      </c>
      <c r="Q4" s="31" t="s">
        <v>43</v>
      </c>
      <c r="R4" s="41" t="s">
        <v>18</v>
      </c>
      <c r="S4" s="4" t="s">
        <v>22</v>
      </c>
      <c r="T4" s="4" t="s">
        <v>30</v>
      </c>
      <c r="U4" s="4" t="s">
        <v>23</v>
      </c>
      <c r="V4" s="4" t="s">
        <v>24</v>
      </c>
      <c r="W4" s="43" t="s">
        <v>44</v>
      </c>
      <c r="X4" s="5" t="s">
        <v>25</v>
      </c>
      <c r="Y4" s="5" t="s">
        <v>8</v>
      </c>
    </row>
    <row r="5" spans="1:32" ht="27">
      <c r="A5" s="12" t="s">
        <v>34</v>
      </c>
      <c r="B5" s="12">
        <v>3</v>
      </c>
      <c r="C5" s="12">
        <v>5</v>
      </c>
      <c r="D5" s="17">
        <v>4</v>
      </c>
      <c r="E5" s="12">
        <v>0</v>
      </c>
      <c r="F5" s="12">
        <v>8</v>
      </c>
      <c r="G5" s="12">
        <v>3</v>
      </c>
      <c r="H5" s="12">
        <v>1</v>
      </c>
      <c r="I5" s="12">
        <f>3+6+3+3+5+2+4+6+6+6+6+6+6+6+6+6+6+6+3+3+3+3+3+4+6+6+5+5+5+5+5+5+5+5+5+5+5+4+4+4+4+4+4+4+4+4+6+6+6+6+6+6+6+6+6+6+6+7+6+4+6+5+5+5+5+5+6+7+7+7+7+7+8+8+5+5+3+5+3+3+4+4+4+5+5+6+6+6+6+6+6+6</f>
        <v>473</v>
      </c>
      <c r="J5" s="45">
        <v>3</v>
      </c>
      <c r="K5" s="46">
        <f>SUM(B5:J5)</f>
        <v>500</v>
      </c>
      <c r="L5" s="12">
        <f>5+4+5+5+5+5+5+5+5+5+5+6+6+6+6+6+6+6+6+6+6+6+6+6+6+5+5+5+5+5+4+4+4+4+8+8+8+8+8+6+8+6</f>
        <v>239</v>
      </c>
      <c r="M5" s="12">
        <v>4</v>
      </c>
      <c r="N5" s="12">
        <v>2</v>
      </c>
      <c r="O5" s="16">
        <f>SUM(L5:N5)</f>
        <v>245</v>
      </c>
      <c r="P5" s="12">
        <v>2</v>
      </c>
      <c r="Q5" s="45">
        <v>4</v>
      </c>
      <c r="R5" s="46">
        <f>SUM(P5:Q5)</f>
        <v>6</v>
      </c>
      <c r="S5" s="12">
        <v>2</v>
      </c>
      <c r="T5" s="12">
        <v>-10</v>
      </c>
      <c r="U5" s="12">
        <v>5</v>
      </c>
      <c r="V5" s="12">
        <v>165</v>
      </c>
      <c r="W5" s="16">
        <f>SUM(S5:V5)</f>
        <v>162</v>
      </c>
      <c r="X5" s="16">
        <f>SUM(W5,R5,O5,K5)</f>
        <v>913</v>
      </c>
      <c r="Y5" s="11"/>
    </row>
    <row r="6" spans="1:32" ht="27">
      <c r="A6" s="12" t="s">
        <v>33</v>
      </c>
      <c r="B6" s="12">
        <v>4</v>
      </c>
      <c r="C6" s="12">
        <v>5</v>
      </c>
      <c r="D6" s="17">
        <v>4</v>
      </c>
      <c r="E6" s="12">
        <v>4</v>
      </c>
      <c r="F6" s="12">
        <v>8</v>
      </c>
      <c r="G6" s="12">
        <v>4</v>
      </c>
      <c r="H6" s="12">
        <v>1</v>
      </c>
      <c r="I6" s="12">
        <f>33+32+35+16+114+28+45+48+50+14+30+6+8</f>
        <v>459</v>
      </c>
      <c r="J6" s="45">
        <v>4</v>
      </c>
      <c r="K6" s="46">
        <f t="shared" ref="K6:K8" si="0">SUM(B6:J6)</f>
        <v>493</v>
      </c>
      <c r="L6" s="12">
        <f>24+30+32+9+9+16+21+6+6+6</f>
        <v>159</v>
      </c>
      <c r="M6" s="12">
        <v>5</v>
      </c>
      <c r="N6" s="12">
        <v>4</v>
      </c>
      <c r="O6" s="16">
        <f t="shared" ref="O6:O18" si="1">SUM(L6:N6)</f>
        <v>168</v>
      </c>
      <c r="P6" s="12">
        <v>3</v>
      </c>
      <c r="Q6" s="45">
        <v>4</v>
      </c>
      <c r="R6" s="46">
        <f t="shared" ref="R6" si="2">SUM(P6:Q6)</f>
        <v>7</v>
      </c>
      <c r="S6" s="12">
        <v>2</v>
      </c>
      <c r="T6" s="12">
        <v>-6</v>
      </c>
      <c r="U6" s="12">
        <v>4</v>
      </c>
      <c r="V6" s="12">
        <v>224</v>
      </c>
      <c r="W6" s="16">
        <f t="shared" ref="W6:W8" si="3">SUM(S6:V6)</f>
        <v>224</v>
      </c>
      <c r="X6" s="16">
        <f t="shared" ref="X6" si="4">SUM(K6,O6,R6,W6)</f>
        <v>892</v>
      </c>
      <c r="Y6" s="12"/>
    </row>
    <row r="7" spans="1:32" ht="27">
      <c r="A7" s="12" t="s">
        <v>0</v>
      </c>
      <c r="B7" s="12">
        <v>4</v>
      </c>
      <c r="C7" s="12">
        <v>4</v>
      </c>
      <c r="D7" s="17">
        <v>4</v>
      </c>
      <c r="E7" s="12">
        <v>0</v>
      </c>
      <c r="F7" s="12">
        <v>8</v>
      </c>
      <c r="G7" s="12">
        <v>3</v>
      </c>
      <c r="H7" s="12">
        <v>1</v>
      </c>
      <c r="I7" s="12">
        <f>4+4+6+6+6+6+4+5+5+5+6+5+4+6+6+4+6+4+3+4+3+4+5+4+3+5+4+3+6+3+3+4+3+5</f>
        <v>154</v>
      </c>
      <c r="J7" s="45">
        <v>3</v>
      </c>
      <c r="K7" s="46">
        <f>SUM(B7:J7)</f>
        <v>181</v>
      </c>
      <c r="L7" s="12">
        <f>5+5+5+5+6+6+7+5+6+5+7+4+4+6+5+5+5+4+5+5+4+5</f>
        <v>114</v>
      </c>
      <c r="M7" s="12">
        <v>4</v>
      </c>
      <c r="N7" s="12">
        <v>3</v>
      </c>
      <c r="O7" s="16">
        <f t="shared" si="1"/>
        <v>121</v>
      </c>
      <c r="P7" s="12">
        <v>2</v>
      </c>
      <c r="Q7" s="45">
        <v>4</v>
      </c>
      <c r="R7" s="46">
        <f>SUM(P7:Q7)</f>
        <v>6</v>
      </c>
      <c r="S7" s="12">
        <v>2</v>
      </c>
      <c r="T7" s="12">
        <v>-8</v>
      </c>
      <c r="U7" s="12">
        <v>4</v>
      </c>
      <c r="V7" s="12">
        <v>0</v>
      </c>
      <c r="W7" s="16">
        <f>SUM(S7:V7)</f>
        <v>-2</v>
      </c>
      <c r="X7" s="16">
        <f>SUM(K7,O7,R7,W7)</f>
        <v>306</v>
      </c>
      <c r="Y7" s="12"/>
    </row>
    <row r="8" spans="1:32" ht="27">
      <c r="A8" s="12" t="s">
        <v>1</v>
      </c>
      <c r="B8" s="12">
        <v>4</v>
      </c>
      <c r="C8" s="12">
        <v>5</v>
      </c>
      <c r="D8" s="17">
        <v>4</v>
      </c>
      <c r="E8" s="12">
        <v>4</v>
      </c>
      <c r="F8" s="17">
        <v>8</v>
      </c>
      <c r="G8" s="17">
        <v>3</v>
      </c>
      <c r="H8" s="12">
        <v>3</v>
      </c>
      <c r="I8" s="12">
        <f>3+6+3+2+5+3+5+4+5+5+6+6+4+3+5+6+3+6+6+3+3+4+3+3+5+6+4+4+3+4+4+6+5+5+5+3+6+4+4+4+8+5+5+7+7+7+7+5+8+7+6+5+8+5+9+9+9+9+7+8+8+6+8</f>
        <v>337</v>
      </c>
      <c r="J8" s="45">
        <v>3</v>
      </c>
      <c r="K8" s="46">
        <f t="shared" si="0"/>
        <v>371</v>
      </c>
      <c r="L8" s="12">
        <f>6+4+5+4+6+4+5+3+4+5+6+6+5+5+5+5+6+6+6+5+6+6+4</f>
        <v>117</v>
      </c>
      <c r="M8" s="12">
        <v>4</v>
      </c>
      <c r="N8" s="12">
        <v>0</v>
      </c>
      <c r="O8" s="16">
        <f t="shared" si="1"/>
        <v>121</v>
      </c>
      <c r="P8" s="12">
        <v>3</v>
      </c>
      <c r="Q8" s="45">
        <v>4</v>
      </c>
      <c r="R8" s="46">
        <f>SUM(P8:Q8)</f>
        <v>7</v>
      </c>
      <c r="S8" s="12">
        <v>3</v>
      </c>
      <c r="T8" s="12">
        <v>-2</v>
      </c>
      <c r="U8" s="12">
        <v>5</v>
      </c>
      <c r="V8" s="12">
        <v>0</v>
      </c>
      <c r="W8" s="16">
        <f t="shared" si="3"/>
        <v>6</v>
      </c>
      <c r="X8" s="16">
        <f>SUM(K8,O8,R8,W8)</f>
        <v>505</v>
      </c>
      <c r="Y8" s="12"/>
    </row>
    <row r="9" spans="1:32" ht="27">
      <c r="A9" s="13" t="s">
        <v>2</v>
      </c>
      <c r="B9" s="13">
        <v>5</v>
      </c>
      <c r="C9" s="13">
        <v>5</v>
      </c>
      <c r="D9" s="20">
        <v>4</v>
      </c>
      <c r="E9" s="13">
        <v>3</v>
      </c>
      <c r="F9" s="13">
        <v>8</v>
      </c>
      <c r="G9" s="13">
        <v>3</v>
      </c>
      <c r="H9" s="13">
        <v>1</v>
      </c>
      <c r="I9" s="13">
        <f>3+3+5+5+3+5+5+4+6+6+6+6+6+3+3+3</f>
        <v>72</v>
      </c>
      <c r="J9" s="44">
        <v>3</v>
      </c>
      <c r="K9" s="47">
        <f t="shared" ref="K9:K10" si="5">SUM(B9:J9)</f>
        <v>104</v>
      </c>
      <c r="L9" s="13">
        <f>11+10+7+9+9+10+10+9</f>
        <v>75</v>
      </c>
      <c r="M9" s="13">
        <v>5</v>
      </c>
      <c r="N9" s="13">
        <v>0</v>
      </c>
      <c r="O9" s="19">
        <f t="shared" si="1"/>
        <v>80</v>
      </c>
      <c r="P9" s="13">
        <v>2</v>
      </c>
      <c r="Q9" s="44">
        <v>4</v>
      </c>
      <c r="R9" s="47">
        <f t="shared" ref="R9:R10" si="6">SUM(P9:Q9)</f>
        <v>6</v>
      </c>
      <c r="S9" s="13">
        <v>3</v>
      </c>
      <c r="T9" s="13">
        <v>-4</v>
      </c>
      <c r="U9" s="13">
        <v>4</v>
      </c>
      <c r="V9" s="13">
        <v>12</v>
      </c>
      <c r="W9" s="19">
        <f t="shared" ref="W9:W10" si="7">SUM(S9:V9)</f>
        <v>15</v>
      </c>
      <c r="X9" s="19">
        <f t="shared" ref="X9:X10" si="8">SUM(W9,R9,O9,K9)</f>
        <v>205</v>
      </c>
      <c r="Y9" s="13"/>
    </row>
    <row r="10" spans="1:32" ht="27">
      <c r="A10" s="13" t="s">
        <v>35</v>
      </c>
      <c r="B10" s="13">
        <v>5</v>
      </c>
      <c r="C10" s="13">
        <v>5</v>
      </c>
      <c r="D10" s="20">
        <v>5</v>
      </c>
      <c r="E10" s="13">
        <v>0</v>
      </c>
      <c r="F10" s="13">
        <v>8</v>
      </c>
      <c r="G10" s="13">
        <v>3</v>
      </c>
      <c r="H10" s="13">
        <v>1</v>
      </c>
      <c r="I10" s="13">
        <f>6+6+6+6+5+4+8+4+3+3+6+5+3+5+5+4+6+5+6+3+5+4+4+4+4+3+2+5+5+4+4+3+5+3+5+7+5+3+5+3</f>
        <v>182</v>
      </c>
      <c r="J10" s="44">
        <v>3</v>
      </c>
      <c r="K10" s="47">
        <f t="shared" si="5"/>
        <v>212</v>
      </c>
      <c r="L10" s="13">
        <f>4</f>
        <v>4</v>
      </c>
      <c r="M10" s="13">
        <v>4</v>
      </c>
      <c r="N10" s="13">
        <v>6</v>
      </c>
      <c r="O10" s="19">
        <f t="shared" si="1"/>
        <v>14</v>
      </c>
      <c r="P10" s="13">
        <v>3</v>
      </c>
      <c r="Q10" s="44">
        <v>4</v>
      </c>
      <c r="R10" s="47">
        <f t="shared" si="6"/>
        <v>7</v>
      </c>
      <c r="S10" s="13">
        <v>3</v>
      </c>
      <c r="T10" s="13">
        <v>0</v>
      </c>
      <c r="U10" s="13">
        <v>4</v>
      </c>
      <c r="V10" s="13">
        <v>0</v>
      </c>
      <c r="W10" s="19">
        <f t="shared" si="7"/>
        <v>7</v>
      </c>
      <c r="X10" s="19">
        <f t="shared" si="8"/>
        <v>240</v>
      </c>
      <c r="Y10" s="13"/>
    </row>
    <row r="11" spans="1:32" ht="27">
      <c r="A11" s="13" t="s">
        <v>36</v>
      </c>
      <c r="B11" s="13">
        <v>4</v>
      </c>
      <c r="C11" s="13">
        <v>4</v>
      </c>
      <c r="D11" s="13">
        <v>4</v>
      </c>
      <c r="E11" s="13">
        <v>3</v>
      </c>
      <c r="F11" s="13">
        <v>7</v>
      </c>
      <c r="G11" s="13">
        <v>3</v>
      </c>
      <c r="H11" s="13">
        <v>1</v>
      </c>
      <c r="I11" s="13">
        <f>4+6+3+3+6+6+6+5+3+7+3+5+5+6+6+6+6+6+6+7+5</f>
        <v>110</v>
      </c>
      <c r="J11" s="44">
        <v>3</v>
      </c>
      <c r="K11" s="47">
        <f>SUM(B11:J11)</f>
        <v>139</v>
      </c>
      <c r="L11" s="13">
        <f>5+4</f>
        <v>9</v>
      </c>
      <c r="M11" s="13">
        <v>5</v>
      </c>
      <c r="N11" s="13">
        <v>0</v>
      </c>
      <c r="O11" s="19">
        <f t="shared" si="1"/>
        <v>14</v>
      </c>
      <c r="P11" s="13">
        <v>2</v>
      </c>
      <c r="Q11" s="44">
        <v>4</v>
      </c>
      <c r="R11" s="47">
        <f>SUM(P11:Q11)</f>
        <v>6</v>
      </c>
      <c r="S11" s="13">
        <v>3</v>
      </c>
      <c r="T11" s="13">
        <v>-4</v>
      </c>
      <c r="U11" s="13">
        <v>3</v>
      </c>
      <c r="V11" s="13">
        <f>3+3</f>
        <v>6</v>
      </c>
      <c r="W11" s="19">
        <f>SUM(S11:V11)</f>
        <v>8</v>
      </c>
      <c r="X11" s="19">
        <f>SUM(W11,R11,O11,K11)</f>
        <v>167</v>
      </c>
      <c r="Y11" s="14"/>
    </row>
    <row r="12" spans="1:32" ht="27">
      <c r="A12" s="13" t="s">
        <v>37</v>
      </c>
      <c r="B12" s="13">
        <v>4</v>
      </c>
      <c r="C12" s="13">
        <v>4</v>
      </c>
      <c r="D12" s="20">
        <v>4</v>
      </c>
      <c r="E12" s="13">
        <v>3</v>
      </c>
      <c r="F12" s="13">
        <v>6</v>
      </c>
      <c r="G12" s="13">
        <v>2</v>
      </c>
      <c r="H12" s="13">
        <v>1</v>
      </c>
      <c r="I12" s="13">
        <f>2+5+5+4+5+5+5+3+4+5+5+3+4+6+4+6+4+6+6+6+5+3+3+6+4+3+4+5+5+5+8+8+7+5+5+8</f>
        <v>177</v>
      </c>
      <c r="J12" s="44">
        <v>2</v>
      </c>
      <c r="K12" s="47">
        <f t="shared" ref="K12:K14" si="9">SUM(B12:J12)</f>
        <v>203</v>
      </c>
      <c r="L12" s="13">
        <f>3+3+3</f>
        <v>9</v>
      </c>
      <c r="M12" s="13">
        <v>4</v>
      </c>
      <c r="N12" s="13">
        <v>0</v>
      </c>
      <c r="O12" s="19">
        <f t="shared" si="1"/>
        <v>13</v>
      </c>
      <c r="P12" s="13">
        <v>2</v>
      </c>
      <c r="Q12" s="44">
        <v>4</v>
      </c>
      <c r="R12" s="47">
        <f t="shared" ref="R12:R14" si="10">SUM(P12:Q12)</f>
        <v>6</v>
      </c>
      <c r="S12" s="13">
        <v>3</v>
      </c>
      <c r="T12" s="13">
        <v>0</v>
      </c>
      <c r="U12" s="13">
        <v>4</v>
      </c>
      <c r="V12" s="13">
        <v>0</v>
      </c>
      <c r="W12" s="19">
        <f t="shared" ref="W12:W14" si="11">SUM(S12:V12)</f>
        <v>7</v>
      </c>
      <c r="X12" s="19">
        <f t="shared" ref="X12:X14" si="12">SUM(W12,R12,O12,K12)</f>
        <v>229</v>
      </c>
      <c r="Y12" s="13"/>
    </row>
    <row r="13" spans="1:32" ht="27">
      <c r="A13" s="13" t="s">
        <v>38</v>
      </c>
      <c r="B13" s="13">
        <v>3</v>
      </c>
      <c r="C13" s="13">
        <v>5</v>
      </c>
      <c r="D13" s="20">
        <v>3</v>
      </c>
      <c r="E13" s="13">
        <v>2</v>
      </c>
      <c r="F13" s="13">
        <v>7</v>
      </c>
      <c r="G13" s="13">
        <v>2</v>
      </c>
      <c r="H13" s="13">
        <v>1</v>
      </c>
      <c r="I13" s="13">
        <f>6+3+4+4+4+5+3+5+6+6+4+4+6+3+2+5+4+6+4+5</f>
        <v>89</v>
      </c>
      <c r="J13" s="44">
        <v>3</v>
      </c>
      <c r="K13" s="47">
        <f t="shared" si="9"/>
        <v>115</v>
      </c>
      <c r="L13" s="13">
        <v>0</v>
      </c>
      <c r="M13" s="13">
        <v>5</v>
      </c>
      <c r="N13" s="13">
        <v>0</v>
      </c>
      <c r="O13" s="19">
        <f t="shared" si="1"/>
        <v>5</v>
      </c>
      <c r="P13" s="13">
        <v>2</v>
      </c>
      <c r="Q13" s="44">
        <v>4</v>
      </c>
      <c r="R13" s="47">
        <f t="shared" si="10"/>
        <v>6</v>
      </c>
      <c r="S13" s="13">
        <v>3</v>
      </c>
      <c r="T13" s="13">
        <v>-4</v>
      </c>
      <c r="U13" s="13">
        <v>3</v>
      </c>
      <c r="V13" s="13">
        <v>0</v>
      </c>
      <c r="W13" s="19">
        <f t="shared" si="11"/>
        <v>2</v>
      </c>
      <c r="X13" s="19">
        <f t="shared" si="12"/>
        <v>128</v>
      </c>
      <c r="Y13" s="13"/>
    </row>
    <row r="14" spans="1:32" ht="27">
      <c r="A14" s="13" t="s">
        <v>39</v>
      </c>
      <c r="B14" s="13">
        <v>4</v>
      </c>
      <c r="C14" s="13">
        <v>4</v>
      </c>
      <c r="D14" s="20">
        <v>3</v>
      </c>
      <c r="E14" s="13">
        <v>0</v>
      </c>
      <c r="F14" s="13">
        <v>8</v>
      </c>
      <c r="G14" s="13">
        <v>2</v>
      </c>
      <c r="H14" s="13">
        <v>1</v>
      </c>
      <c r="I14" s="13">
        <f>3+5+6+4+4+5+6+5+3+5+6</f>
        <v>52</v>
      </c>
      <c r="J14" s="44">
        <v>2</v>
      </c>
      <c r="K14" s="47">
        <f t="shared" si="9"/>
        <v>76</v>
      </c>
      <c r="L14" s="13">
        <v>0</v>
      </c>
      <c r="M14" s="13">
        <v>5</v>
      </c>
      <c r="N14" s="13">
        <v>0</v>
      </c>
      <c r="O14" s="19">
        <f t="shared" si="1"/>
        <v>5</v>
      </c>
      <c r="P14" s="13">
        <v>2</v>
      </c>
      <c r="Q14" s="44">
        <v>4</v>
      </c>
      <c r="R14" s="47">
        <f t="shared" si="10"/>
        <v>6</v>
      </c>
      <c r="S14" s="13">
        <v>3</v>
      </c>
      <c r="T14" s="13">
        <v>0</v>
      </c>
      <c r="U14" s="13">
        <v>5</v>
      </c>
      <c r="V14" s="13">
        <v>0</v>
      </c>
      <c r="W14" s="19">
        <f t="shared" si="11"/>
        <v>8</v>
      </c>
      <c r="X14" s="19">
        <f t="shared" si="12"/>
        <v>95</v>
      </c>
      <c r="Y14" s="13"/>
    </row>
    <row r="15" spans="1:32" ht="27">
      <c r="A15" s="33" t="s">
        <v>3</v>
      </c>
      <c r="B15" s="33">
        <v>5</v>
      </c>
      <c r="C15" s="33">
        <v>5</v>
      </c>
      <c r="D15" s="33">
        <v>5</v>
      </c>
      <c r="E15" s="33">
        <v>2</v>
      </c>
      <c r="F15" s="33">
        <v>8</v>
      </c>
      <c r="G15" s="33">
        <v>3</v>
      </c>
      <c r="H15" s="33">
        <v>1</v>
      </c>
      <c r="I15" s="33">
        <f>5+3+4+5+5+3+3+4+4+5+4+4+3+5+3+5+3+5+3+3+3+4+3+3+3+5+2+6+6+6+6+6+5+5+3+5+5</f>
        <v>155</v>
      </c>
      <c r="J15" s="38">
        <v>3</v>
      </c>
      <c r="K15" s="48">
        <f>SUM(B15:J15)</f>
        <v>187</v>
      </c>
      <c r="L15" s="33">
        <f>6+4+4+6+6+9+7+9+9</f>
        <v>60</v>
      </c>
      <c r="M15" s="33">
        <v>5</v>
      </c>
      <c r="N15" s="33">
        <v>0</v>
      </c>
      <c r="O15" s="34">
        <f t="shared" si="1"/>
        <v>65</v>
      </c>
      <c r="P15" s="33">
        <v>3</v>
      </c>
      <c r="Q15" s="38">
        <v>4</v>
      </c>
      <c r="R15" s="48">
        <f>SUM(P15:Q15)</f>
        <v>7</v>
      </c>
      <c r="S15" s="33">
        <v>3</v>
      </c>
      <c r="T15" s="33">
        <v>3</v>
      </c>
      <c r="U15" s="33">
        <v>5</v>
      </c>
      <c r="V15" s="33">
        <v>0</v>
      </c>
      <c r="W15" s="34">
        <f>SUM(S15:V15)</f>
        <v>11</v>
      </c>
      <c r="X15" s="34">
        <f>SUM(K15+O15+R15+W15)</f>
        <v>270</v>
      </c>
      <c r="Y15" s="39"/>
    </row>
    <row r="16" spans="1:32" ht="27.75">
      <c r="A16" s="33" t="s">
        <v>4</v>
      </c>
      <c r="B16" s="33"/>
      <c r="C16" s="34"/>
      <c r="D16" s="35"/>
      <c r="E16" s="33"/>
      <c r="F16" s="33"/>
      <c r="G16" s="33"/>
      <c r="H16" s="33"/>
      <c r="I16" s="36"/>
      <c r="J16" s="37"/>
      <c r="K16" s="48"/>
      <c r="L16" s="33"/>
      <c r="M16" s="33"/>
      <c r="N16" s="33"/>
      <c r="O16" s="34"/>
      <c r="P16" s="33"/>
      <c r="Q16" s="37"/>
      <c r="R16" s="48"/>
      <c r="S16" s="33"/>
      <c r="T16" s="33"/>
      <c r="U16" s="33"/>
      <c r="V16" s="33"/>
      <c r="W16" s="34"/>
      <c r="X16" s="34">
        <f t="shared" ref="X16:X18" si="13">SUM(K16+O16+R16+W16)</f>
        <v>0</v>
      </c>
      <c r="Y16" s="33"/>
    </row>
    <row r="17" spans="1:25" ht="27">
      <c r="A17" s="33" t="s">
        <v>5</v>
      </c>
      <c r="B17" s="33">
        <v>4</v>
      </c>
      <c r="C17" s="33">
        <v>5</v>
      </c>
      <c r="D17" s="33">
        <v>5</v>
      </c>
      <c r="E17" s="33">
        <v>3</v>
      </c>
      <c r="F17" s="33">
        <v>6</v>
      </c>
      <c r="G17" s="33">
        <v>3</v>
      </c>
      <c r="H17" s="33">
        <v>1</v>
      </c>
      <c r="I17" s="33">
        <f>5+3+3+4+3+5+6+5+3+3+4+5+5</f>
        <v>54</v>
      </c>
      <c r="J17" s="38">
        <v>1</v>
      </c>
      <c r="K17" s="48">
        <f t="shared" ref="K17:K18" si="14">SUM(B17:J17)</f>
        <v>82</v>
      </c>
      <c r="L17" s="33">
        <f>5+5+4</f>
        <v>14</v>
      </c>
      <c r="M17" s="33">
        <v>5</v>
      </c>
      <c r="N17" s="33">
        <v>0</v>
      </c>
      <c r="O17" s="34">
        <f t="shared" si="1"/>
        <v>19</v>
      </c>
      <c r="P17" s="33">
        <v>3</v>
      </c>
      <c r="Q17" s="38">
        <v>4</v>
      </c>
      <c r="R17" s="48">
        <f t="shared" ref="R17:R18" si="15">SUM(P17:Q17)</f>
        <v>7</v>
      </c>
      <c r="S17" s="33">
        <v>3</v>
      </c>
      <c r="T17" s="33">
        <v>-2</v>
      </c>
      <c r="U17" s="33">
        <v>0</v>
      </c>
      <c r="V17" s="33">
        <v>0</v>
      </c>
      <c r="W17" s="34">
        <f t="shared" ref="W17:W18" si="16">SUM(S17:V17)</f>
        <v>1</v>
      </c>
      <c r="X17" s="34">
        <f t="shared" si="13"/>
        <v>109</v>
      </c>
      <c r="Y17" s="33"/>
    </row>
    <row r="18" spans="1:25" ht="27">
      <c r="A18" s="33" t="s">
        <v>6</v>
      </c>
      <c r="B18" s="33">
        <v>5</v>
      </c>
      <c r="C18" s="33">
        <v>4</v>
      </c>
      <c r="D18" s="33">
        <v>4</v>
      </c>
      <c r="E18" s="33">
        <v>3</v>
      </c>
      <c r="F18" s="33">
        <v>5</v>
      </c>
      <c r="G18" s="33">
        <v>3</v>
      </c>
      <c r="H18" s="33">
        <v>1</v>
      </c>
      <c r="I18" s="33">
        <f>4+2+2+2+6+3+5+5+4+4+6+3+4+6+5+5+6+5+5+5+4+4+5+7+6+5+5</f>
        <v>123</v>
      </c>
      <c r="J18" s="38">
        <v>2</v>
      </c>
      <c r="K18" s="48">
        <f t="shared" si="14"/>
        <v>150</v>
      </c>
      <c r="L18" s="33">
        <v>0</v>
      </c>
      <c r="M18" s="33">
        <v>5</v>
      </c>
      <c r="N18" s="33">
        <v>0</v>
      </c>
      <c r="O18" s="34">
        <f t="shared" si="1"/>
        <v>5</v>
      </c>
      <c r="P18" s="33">
        <v>3</v>
      </c>
      <c r="Q18" s="38">
        <v>4</v>
      </c>
      <c r="R18" s="48">
        <f t="shared" si="15"/>
        <v>7</v>
      </c>
      <c r="S18" s="33">
        <v>3</v>
      </c>
      <c r="T18" s="33">
        <v>0</v>
      </c>
      <c r="U18" s="33">
        <v>1</v>
      </c>
      <c r="V18" s="33">
        <v>0</v>
      </c>
      <c r="W18" s="34">
        <f t="shared" si="16"/>
        <v>4</v>
      </c>
      <c r="X18" s="34">
        <f t="shared" si="13"/>
        <v>166</v>
      </c>
      <c r="Y18" s="39"/>
    </row>
    <row r="19" spans="1:25" ht="27">
      <c r="A19" s="33" t="s">
        <v>7</v>
      </c>
      <c r="B19" s="71" t="s">
        <v>46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3"/>
      <c r="X19" s="34">
        <v>0</v>
      </c>
      <c r="Y19" s="33"/>
    </row>
  </sheetData>
  <mergeCells count="7">
    <mergeCell ref="B19:W19"/>
    <mergeCell ref="P3:R3"/>
    <mergeCell ref="S3:W3"/>
    <mergeCell ref="X3:Y3"/>
    <mergeCell ref="A1:AF1"/>
    <mergeCell ref="L3:O3"/>
    <mergeCell ref="B3:K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1"/>
  <sheetViews>
    <sheetView view="pageBreakPreview" topLeftCell="C1" zoomScale="40" zoomScaleNormal="50" zoomScaleSheetLayoutView="40" zoomScalePageLayoutView="40" workbookViewId="0">
      <selection activeCell="A10" sqref="A10:XFD10"/>
    </sheetView>
  </sheetViews>
  <sheetFormatPr defaultRowHeight="15"/>
  <cols>
    <col min="1" max="1" width="73.7109375" customWidth="1"/>
    <col min="2" max="2" width="13.140625" customWidth="1"/>
    <col min="3" max="3" width="14.85546875" customWidth="1"/>
    <col min="4" max="4" width="15.42578125" customWidth="1"/>
    <col min="5" max="5" width="17.42578125" customWidth="1"/>
    <col min="6" max="7" width="15.42578125" customWidth="1"/>
    <col min="8" max="8" width="16" customWidth="1"/>
    <col min="9" max="9" width="25.140625" customWidth="1"/>
    <col min="10" max="10" width="16.85546875" customWidth="1"/>
    <col min="11" max="11" width="12.28515625" customWidth="1"/>
    <col min="12" max="12" width="13.7109375" customWidth="1"/>
    <col min="13" max="13" width="22.85546875" customWidth="1"/>
    <col min="14" max="14" width="11.42578125" customWidth="1"/>
    <col min="16" max="16" width="20.5703125" customWidth="1"/>
    <col min="17" max="17" width="14.28515625" customWidth="1"/>
    <col min="18" max="18" width="30.28515625" customWidth="1"/>
    <col min="20" max="20" width="16.28515625" customWidth="1"/>
    <col min="21" max="21" width="17.140625" customWidth="1"/>
    <col min="22" max="22" width="16" customWidth="1"/>
    <col min="23" max="23" width="24.5703125" customWidth="1"/>
    <col min="24" max="24" width="14" customWidth="1"/>
    <col min="25" max="25" width="30.28515625" customWidth="1"/>
  </cols>
  <sheetData>
    <row r="1" spans="1:32" ht="27">
      <c r="A1" s="75" t="s">
        <v>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</row>
    <row r="3" spans="1:32" ht="33">
      <c r="A3" s="8"/>
      <c r="B3" s="67" t="s">
        <v>12</v>
      </c>
      <c r="C3" s="67"/>
      <c r="D3" s="67"/>
      <c r="E3" s="67"/>
      <c r="F3" s="67"/>
      <c r="G3" s="67"/>
      <c r="H3" s="67"/>
      <c r="I3" s="67"/>
      <c r="J3" s="74"/>
      <c r="K3" s="74"/>
      <c r="L3" s="76" t="s">
        <v>14</v>
      </c>
      <c r="M3" s="77"/>
      <c r="N3" s="77"/>
      <c r="O3" s="78"/>
      <c r="P3" s="69" t="s">
        <v>20</v>
      </c>
      <c r="Q3" s="74"/>
      <c r="R3" s="74"/>
      <c r="S3" s="69" t="s">
        <v>21</v>
      </c>
      <c r="T3" s="68"/>
      <c r="U3" s="68"/>
      <c r="V3" s="68"/>
      <c r="W3" s="68"/>
      <c r="X3" s="69" t="s">
        <v>32</v>
      </c>
      <c r="Y3" s="68"/>
    </row>
    <row r="4" spans="1:32" ht="409.5">
      <c r="A4" s="3"/>
      <c r="B4" s="4" t="s">
        <v>27</v>
      </c>
      <c r="C4" s="4" t="s">
        <v>28</v>
      </c>
      <c r="D4" s="4" t="s">
        <v>29</v>
      </c>
      <c r="E4" s="4" t="s">
        <v>9</v>
      </c>
      <c r="F4" s="4" t="s">
        <v>31</v>
      </c>
      <c r="G4" s="4" t="s">
        <v>10</v>
      </c>
      <c r="H4" s="4" t="s">
        <v>11</v>
      </c>
      <c r="I4" s="4" t="s">
        <v>41</v>
      </c>
      <c r="J4" s="32" t="s">
        <v>42</v>
      </c>
      <c r="K4" s="40" t="s">
        <v>18</v>
      </c>
      <c r="L4" s="4" t="s">
        <v>15</v>
      </c>
      <c r="M4" s="4" t="s">
        <v>16</v>
      </c>
      <c r="N4" s="4" t="s">
        <v>17</v>
      </c>
      <c r="O4" s="6" t="s">
        <v>18</v>
      </c>
      <c r="P4" s="42" t="s">
        <v>19</v>
      </c>
      <c r="Q4" s="31" t="s">
        <v>43</v>
      </c>
      <c r="R4" s="41" t="s">
        <v>18</v>
      </c>
      <c r="S4" s="4" t="s">
        <v>22</v>
      </c>
      <c r="T4" s="4" t="s">
        <v>30</v>
      </c>
      <c r="U4" s="4" t="s">
        <v>23</v>
      </c>
      <c r="V4" s="4" t="s">
        <v>24</v>
      </c>
      <c r="W4" s="43" t="s">
        <v>44</v>
      </c>
      <c r="X4" s="5" t="s">
        <v>25</v>
      </c>
      <c r="Y4" s="5" t="s">
        <v>8</v>
      </c>
    </row>
    <row r="5" spans="1:32" ht="27">
      <c r="A5" s="12" t="s">
        <v>34</v>
      </c>
      <c r="B5" s="12">
        <v>4</v>
      </c>
      <c r="C5" s="12">
        <v>5</v>
      </c>
      <c r="D5" s="17">
        <v>4</v>
      </c>
      <c r="E5" s="12">
        <v>0</v>
      </c>
      <c r="F5" s="12">
        <v>4</v>
      </c>
      <c r="G5" s="12">
        <v>3</v>
      </c>
      <c r="H5" s="12">
        <v>1</v>
      </c>
      <c r="I5" s="12">
        <f>6+3+4+5+4+3+4+4+4+4+4+4+4+4+15+3+3+3+3+3+3+3+3+3+3+3+3+3+3+3+4+4+3+4+4+4+4+5+5+5+5+5+5+5+5+5+5+6+3+3+3+3+6+6+3+6+6+6+6+6+6+6+4+5+8+8+8+8+8+8+8+8+7+7+7+7+6+6+6+6+5+5+5+5+5+5+5+5+5+5+5+5+5+5+7+9</f>
        <v>480</v>
      </c>
      <c r="J5" s="45">
        <v>3</v>
      </c>
      <c r="K5" s="46">
        <f>SUM(B5:J5)</f>
        <v>504</v>
      </c>
      <c r="L5" s="12">
        <f>6+4+7+6+5+6+6+6+6+6+8+11+7+7+10+9+9+8</f>
        <v>127</v>
      </c>
      <c r="M5" s="12">
        <v>4</v>
      </c>
      <c r="N5" s="12">
        <v>2</v>
      </c>
      <c r="O5" s="16">
        <f>SUM(L5:N5)</f>
        <v>133</v>
      </c>
      <c r="P5" s="12">
        <v>2</v>
      </c>
      <c r="Q5" s="56">
        <v>4</v>
      </c>
      <c r="R5" s="58">
        <f>SUM(P5:Q5)</f>
        <v>6</v>
      </c>
      <c r="S5" s="12">
        <v>2</v>
      </c>
      <c r="T5" s="12">
        <v>-6</v>
      </c>
      <c r="U5" s="12">
        <v>5</v>
      </c>
      <c r="V5" s="12">
        <v>165</v>
      </c>
      <c r="W5" s="16">
        <f>SUM(S5:V5)</f>
        <v>166</v>
      </c>
      <c r="X5" s="16">
        <f>SUM(W5,R5,O5,K5)</f>
        <v>809</v>
      </c>
      <c r="Y5" s="11" t="s">
        <v>62</v>
      </c>
    </row>
    <row r="6" spans="1:32" ht="27">
      <c r="A6" s="12" t="s">
        <v>33</v>
      </c>
      <c r="B6" s="12">
        <v>5</v>
      </c>
      <c r="C6" s="12">
        <v>5</v>
      </c>
      <c r="D6" s="17">
        <v>4</v>
      </c>
      <c r="E6" s="12">
        <v>4</v>
      </c>
      <c r="F6" s="12">
        <v>8</v>
      </c>
      <c r="G6" s="12">
        <v>4</v>
      </c>
      <c r="H6" s="12">
        <v>1</v>
      </c>
      <c r="I6" s="12">
        <f>44+3+2+5+276+60+105+174+5+6+25+7+100+12+14+40</f>
        <v>878</v>
      </c>
      <c r="J6" s="45">
        <v>3</v>
      </c>
      <c r="K6" s="46">
        <f t="shared" ref="K6" si="0">SUM(B6:J6)</f>
        <v>912</v>
      </c>
      <c r="L6" s="12">
        <f>5+5+5+5+6+5+6+6+5+6+5+5+4+5+7+8+8+8+9+8+8+4</f>
        <v>133</v>
      </c>
      <c r="M6" s="12">
        <v>5</v>
      </c>
      <c r="N6" s="12">
        <v>2</v>
      </c>
      <c r="O6" s="16">
        <f t="shared" ref="O6:O16" si="1">SUM(L6:N6)</f>
        <v>140</v>
      </c>
      <c r="P6" s="12">
        <v>3</v>
      </c>
      <c r="Q6" s="56">
        <v>4</v>
      </c>
      <c r="R6" s="58">
        <f t="shared" ref="R6" si="2">SUM(P6:Q6)</f>
        <v>7</v>
      </c>
      <c r="S6" s="12">
        <v>2</v>
      </c>
      <c r="T6" s="12">
        <v>-6</v>
      </c>
      <c r="U6" s="12">
        <v>5</v>
      </c>
      <c r="V6" s="12">
        <v>126</v>
      </c>
      <c r="W6" s="16">
        <f t="shared" ref="W6:W10" si="3">SUM(S6:V6)</f>
        <v>127</v>
      </c>
      <c r="X6" s="16">
        <f t="shared" ref="X6" si="4">SUM(K6,O6,R6,W6)</f>
        <v>1186</v>
      </c>
      <c r="Y6" s="11" t="s">
        <v>61</v>
      </c>
    </row>
    <row r="7" spans="1:32" ht="27">
      <c r="A7" s="12" t="s">
        <v>0</v>
      </c>
      <c r="B7" s="12">
        <v>4</v>
      </c>
      <c r="C7" s="12">
        <v>4</v>
      </c>
      <c r="D7" s="17">
        <v>4</v>
      </c>
      <c r="E7" s="12">
        <v>2</v>
      </c>
      <c r="F7" s="12">
        <v>8</v>
      </c>
      <c r="G7" s="12">
        <v>3</v>
      </c>
      <c r="H7" s="12">
        <v>1</v>
      </c>
      <c r="I7" s="12">
        <f>4+4+4+3+4+3+4+6+4+7+3+4+6+5+5+5+5+5+4+4+39+5+10+35+5+4+12+3+6+5+4+6+3+4+3+3+6+3+8</f>
        <v>253</v>
      </c>
      <c r="J7" s="45">
        <v>3</v>
      </c>
      <c r="K7" s="46">
        <f>SUM(B7:J7)</f>
        <v>282</v>
      </c>
      <c r="L7" s="12">
        <f>4+4+6+6+6+3+3+4+4+5+4+3+8+7+7+5+4+4+4+6+2</f>
        <v>99</v>
      </c>
      <c r="M7" s="12">
        <v>5</v>
      </c>
      <c r="N7" s="12">
        <v>2</v>
      </c>
      <c r="O7" s="16">
        <f>SUM(L7:N7)</f>
        <v>106</v>
      </c>
      <c r="P7" s="12">
        <v>2</v>
      </c>
      <c r="Q7" s="56">
        <v>4</v>
      </c>
      <c r="R7" s="58">
        <f>SUM(P7:Q7)</f>
        <v>6</v>
      </c>
      <c r="S7" s="12">
        <v>2</v>
      </c>
      <c r="T7" s="12">
        <v>-4</v>
      </c>
      <c r="U7" s="12">
        <v>4</v>
      </c>
      <c r="V7" s="12">
        <v>14</v>
      </c>
      <c r="W7" s="16">
        <f>SUM(S7:V7)</f>
        <v>16</v>
      </c>
      <c r="X7" s="16">
        <v>410</v>
      </c>
      <c r="Y7" s="11" t="s">
        <v>64</v>
      </c>
    </row>
    <row r="8" spans="1:32" ht="27">
      <c r="A8" s="12" t="s">
        <v>1</v>
      </c>
      <c r="B8" s="12">
        <v>5</v>
      </c>
      <c r="C8" s="12">
        <v>5</v>
      </c>
      <c r="D8" s="17">
        <v>4</v>
      </c>
      <c r="E8" s="12">
        <v>4</v>
      </c>
      <c r="F8" s="17">
        <v>8</v>
      </c>
      <c r="G8" s="17">
        <v>4</v>
      </c>
      <c r="H8" s="12">
        <v>3</v>
      </c>
      <c r="I8" s="12">
        <f>5+4+3+2+4+5+3+5+5+5+5+5+6+6+5+5+6+6+6+4+6+4+6+5+3+3+4+3+3+3+5+3+6+3+4+6+3+6+3+3+3+5+5+4+6+6+6+3+3+6+6+5+4+4+5+6+6+6+6+4+5+4+6+6+6+6+6+5+4+6+6+6+6+6+6+6+6+5+4+6+4+5+6+6+4+4+4+4+5+5+5+5+6+4+6+3+3+12+4+5+25+7+10+7+5+5+5+5+10+9+12</f>
        <v>587</v>
      </c>
      <c r="J8" s="45">
        <v>3</v>
      </c>
      <c r="K8" s="46">
        <f>SUM(B8:J8)</f>
        <v>623</v>
      </c>
      <c r="L8" s="12">
        <f>5+5+5+5+5+5+5+5+5+5+5+5+5+6+5+4+4+5+3+4+3+5</f>
        <v>104</v>
      </c>
      <c r="M8" s="12">
        <v>5</v>
      </c>
      <c r="N8" s="12">
        <v>2</v>
      </c>
      <c r="O8" s="16">
        <f>SUM(L8:N8)</f>
        <v>111</v>
      </c>
      <c r="P8" s="12">
        <v>3</v>
      </c>
      <c r="Q8" s="56">
        <v>4</v>
      </c>
      <c r="R8" s="58">
        <f>SUM(P8:Q8)</f>
        <v>7</v>
      </c>
      <c r="S8" s="12">
        <v>3</v>
      </c>
      <c r="T8" s="12">
        <v>0</v>
      </c>
      <c r="U8" s="12">
        <v>5</v>
      </c>
      <c r="V8" s="12">
        <v>56</v>
      </c>
      <c r="W8" s="16">
        <f>SUM(S8:V8)</f>
        <v>64</v>
      </c>
      <c r="X8" s="16">
        <v>749</v>
      </c>
      <c r="Y8" s="11" t="s">
        <v>63</v>
      </c>
    </row>
    <row r="9" spans="1:32" ht="54">
      <c r="A9" s="49" t="s">
        <v>47</v>
      </c>
      <c r="B9" s="13">
        <v>3</v>
      </c>
      <c r="C9" s="13">
        <v>4</v>
      </c>
      <c r="D9" s="20">
        <v>4</v>
      </c>
      <c r="E9" s="13">
        <v>3</v>
      </c>
      <c r="F9" s="13">
        <v>8</v>
      </c>
      <c r="G9" s="13">
        <v>3</v>
      </c>
      <c r="H9" s="13">
        <v>1</v>
      </c>
      <c r="I9" s="13">
        <f>6+6+4+5+3+3+5+6+6+5+5+5+4+4+4+4+4+4+6+4+4+4+6+6+6+4+3+3+3+3+3+3+3+3+4+3+3</f>
        <v>157</v>
      </c>
      <c r="J9" s="44">
        <v>3</v>
      </c>
      <c r="K9" s="47">
        <f t="shared" ref="K9:K10" si="5">SUM(B9:J9)</f>
        <v>186</v>
      </c>
      <c r="L9" s="13">
        <f>7+9+7+8+9+10+8+9+8+11+10</f>
        <v>96</v>
      </c>
      <c r="M9" s="13">
        <v>4</v>
      </c>
      <c r="N9" s="13">
        <v>0</v>
      </c>
      <c r="O9" s="19">
        <f t="shared" si="1"/>
        <v>100</v>
      </c>
      <c r="P9" s="13">
        <v>2</v>
      </c>
      <c r="Q9" s="57">
        <v>4</v>
      </c>
      <c r="R9" s="59">
        <f t="shared" ref="R9:R10" si="6">SUM(P9:Q9)</f>
        <v>6</v>
      </c>
      <c r="S9" s="13">
        <v>3</v>
      </c>
      <c r="T9" s="13">
        <v>0</v>
      </c>
      <c r="U9" s="13">
        <v>4</v>
      </c>
      <c r="V9" s="13">
        <v>0</v>
      </c>
      <c r="W9" s="19">
        <f t="shared" si="3"/>
        <v>7</v>
      </c>
      <c r="X9" s="19">
        <f t="shared" ref="X9:X10" si="7">SUM(W9,R9,O9,K9)</f>
        <v>299</v>
      </c>
      <c r="Y9" s="14" t="s">
        <v>62</v>
      </c>
    </row>
    <row r="10" spans="1:32" ht="54">
      <c r="A10" s="49" t="s">
        <v>48</v>
      </c>
      <c r="B10" s="13">
        <v>4</v>
      </c>
      <c r="C10" s="13">
        <v>5</v>
      </c>
      <c r="D10" s="20">
        <v>4</v>
      </c>
      <c r="E10" s="13">
        <v>0</v>
      </c>
      <c r="F10" s="13">
        <v>8</v>
      </c>
      <c r="G10" s="13">
        <v>3</v>
      </c>
      <c r="H10" s="13">
        <v>1</v>
      </c>
      <c r="I10" s="13">
        <f>6+3+6+5+6+7+6+6+6+5+5+5+4+5+5+4+5+5+5+5+4+4+4+4+4+4+4+4+4+3+6+3+3+3</f>
        <v>158</v>
      </c>
      <c r="J10" s="44">
        <v>3</v>
      </c>
      <c r="K10" s="47">
        <f t="shared" si="5"/>
        <v>186</v>
      </c>
      <c r="L10" s="13">
        <v>0</v>
      </c>
      <c r="M10" s="13">
        <v>4</v>
      </c>
      <c r="N10" s="13">
        <v>3</v>
      </c>
      <c r="O10" s="19">
        <f t="shared" si="1"/>
        <v>7</v>
      </c>
      <c r="P10" s="13">
        <v>3</v>
      </c>
      <c r="Q10" s="57">
        <v>4</v>
      </c>
      <c r="R10" s="59">
        <f t="shared" si="6"/>
        <v>7</v>
      </c>
      <c r="S10" s="13">
        <v>3</v>
      </c>
      <c r="T10" s="13">
        <v>0</v>
      </c>
      <c r="U10" s="13">
        <v>5</v>
      </c>
      <c r="V10" s="13">
        <v>0</v>
      </c>
      <c r="W10" s="19">
        <f t="shared" si="3"/>
        <v>8</v>
      </c>
      <c r="X10" s="19">
        <f t="shared" si="7"/>
        <v>208</v>
      </c>
      <c r="Y10" s="14" t="s">
        <v>64</v>
      </c>
    </row>
    <row r="11" spans="1:32" ht="54">
      <c r="A11" s="49" t="s">
        <v>49</v>
      </c>
      <c r="B11" s="13">
        <v>5</v>
      </c>
      <c r="C11" s="13">
        <v>5</v>
      </c>
      <c r="D11" s="20">
        <v>4</v>
      </c>
      <c r="E11" s="13">
        <v>3</v>
      </c>
      <c r="F11" s="13">
        <v>7</v>
      </c>
      <c r="G11" s="13">
        <v>3</v>
      </c>
      <c r="H11" s="13">
        <v>3</v>
      </c>
      <c r="I11" s="13">
        <f>5+4+5+2+2+5+5+2+7+5+6+5+5+5+6+3+4+6+6+6+3+6+6+5+6+5+5+5+5+4+6+4+4+3</f>
        <v>161</v>
      </c>
      <c r="J11" s="44">
        <v>3</v>
      </c>
      <c r="K11" s="47">
        <f t="shared" ref="K11" si="8">SUM(B11:J11)</f>
        <v>194</v>
      </c>
      <c r="L11" s="13">
        <f>8+3+2+2+8+8+8+8+8</f>
        <v>55</v>
      </c>
      <c r="M11" s="13">
        <v>5</v>
      </c>
      <c r="N11" s="13">
        <v>0</v>
      </c>
      <c r="O11" s="19">
        <f t="shared" ref="O11" si="9">SUM(L11:N11)</f>
        <v>60</v>
      </c>
      <c r="P11" s="13">
        <v>2</v>
      </c>
      <c r="Q11" s="57">
        <v>4</v>
      </c>
      <c r="R11" s="59">
        <f t="shared" ref="R11" si="10">SUM(P11:Q11)</f>
        <v>6</v>
      </c>
      <c r="S11" s="13">
        <v>3</v>
      </c>
      <c r="T11" s="13">
        <v>0</v>
      </c>
      <c r="U11" s="13">
        <v>4</v>
      </c>
      <c r="V11" s="13">
        <v>0</v>
      </c>
      <c r="W11" s="19">
        <f t="shared" ref="W11" si="11">SUM(S11:V11)</f>
        <v>7</v>
      </c>
      <c r="X11" s="19">
        <f t="shared" ref="X11" si="12">SUM(W11,R11,O11,K11)</f>
        <v>267</v>
      </c>
      <c r="Y11" s="14" t="s">
        <v>63</v>
      </c>
    </row>
    <row r="12" spans="1:32" ht="54">
      <c r="A12" s="49" t="s">
        <v>50</v>
      </c>
      <c r="B12" s="13">
        <v>4</v>
      </c>
      <c r="C12" s="13">
        <v>4</v>
      </c>
      <c r="D12" s="20">
        <v>4</v>
      </c>
      <c r="E12" s="13">
        <v>3</v>
      </c>
      <c r="F12" s="13">
        <v>6</v>
      </c>
      <c r="G12" s="13">
        <v>3</v>
      </c>
      <c r="H12" s="13">
        <v>1</v>
      </c>
      <c r="I12" s="13">
        <f>3+3+3+4+6+6+4+4+4+5+5+5+6+6+6+5+5+5+4+4+4+3+3+3+3+3+6+5+3+3+3+3+3+5+5+6+3+3+8+8+8+8+5+5+5+5+5+5+5+5+5+5+5+5+5+5+5+5+5+5+7+5+5+5+8+6</f>
        <v>318</v>
      </c>
      <c r="J12" s="44">
        <v>3</v>
      </c>
      <c r="K12" s="47">
        <f t="shared" ref="K12:K14" si="13">SUM(B12:J12)</f>
        <v>346</v>
      </c>
      <c r="L12" s="13">
        <v>0</v>
      </c>
      <c r="M12" s="13">
        <v>4</v>
      </c>
      <c r="N12" s="13">
        <v>0</v>
      </c>
      <c r="O12" s="19">
        <f t="shared" si="1"/>
        <v>4</v>
      </c>
      <c r="P12" s="13">
        <v>2</v>
      </c>
      <c r="Q12" s="57">
        <v>4</v>
      </c>
      <c r="R12" s="59">
        <f t="shared" ref="R12:R14" si="14">SUM(P12:Q12)</f>
        <v>6</v>
      </c>
      <c r="S12" s="13">
        <v>3</v>
      </c>
      <c r="T12" s="13">
        <v>0</v>
      </c>
      <c r="U12" s="13">
        <v>4</v>
      </c>
      <c r="V12" s="13">
        <v>0</v>
      </c>
      <c r="W12" s="19">
        <f t="shared" ref="W12:W14" si="15">SUM(S12:V12)</f>
        <v>7</v>
      </c>
      <c r="X12" s="19">
        <f t="shared" ref="X12:X14" si="16">SUM(W12,R12,O12,K12)</f>
        <v>363</v>
      </c>
      <c r="Y12" s="14" t="s">
        <v>61</v>
      </c>
    </row>
    <row r="13" spans="1:32" ht="54">
      <c r="A13" s="49" t="s">
        <v>52</v>
      </c>
      <c r="B13" s="13">
        <v>4</v>
      </c>
      <c r="C13" s="13">
        <v>4</v>
      </c>
      <c r="D13" s="20">
        <v>4</v>
      </c>
      <c r="E13" s="13">
        <v>3</v>
      </c>
      <c r="F13" s="13">
        <v>8</v>
      </c>
      <c r="G13" s="13">
        <v>3</v>
      </c>
      <c r="H13" s="13">
        <v>0</v>
      </c>
      <c r="I13" s="13">
        <f>3+3+3+3+3+3+3+3+3+3+3+3+5+4+5+5+3+6+3+3+3+4+4+6+4+5+3</f>
        <v>99</v>
      </c>
      <c r="J13" s="44">
        <v>3</v>
      </c>
      <c r="K13" s="47">
        <f t="shared" si="13"/>
        <v>128</v>
      </c>
      <c r="L13" s="13">
        <v>0</v>
      </c>
      <c r="M13" s="13">
        <v>4</v>
      </c>
      <c r="N13" s="13">
        <v>4</v>
      </c>
      <c r="O13" s="19">
        <f t="shared" si="1"/>
        <v>8</v>
      </c>
      <c r="P13" s="13">
        <v>2</v>
      </c>
      <c r="Q13" s="57">
        <v>4</v>
      </c>
      <c r="R13" s="59">
        <f t="shared" si="14"/>
        <v>6</v>
      </c>
      <c r="S13" s="13">
        <v>3</v>
      </c>
      <c r="T13" s="13">
        <v>-2</v>
      </c>
      <c r="U13" s="13">
        <v>4</v>
      </c>
      <c r="V13" s="13">
        <v>0</v>
      </c>
      <c r="W13" s="19">
        <f t="shared" si="15"/>
        <v>5</v>
      </c>
      <c r="X13" s="19">
        <f t="shared" si="16"/>
        <v>147</v>
      </c>
      <c r="Y13" s="14" t="s">
        <v>67</v>
      </c>
    </row>
    <row r="14" spans="1:32" ht="54">
      <c r="A14" s="49" t="s">
        <v>51</v>
      </c>
      <c r="B14" s="13">
        <v>3</v>
      </c>
      <c r="C14" s="13">
        <v>3</v>
      </c>
      <c r="D14" s="20">
        <v>3</v>
      </c>
      <c r="E14" s="13">
        <v>0</v>
      </c>
      <c r="F14" s="13">
        <v>7</v>
      </c>
      <c r="G14" s="13">
        <v>2</v>
      </c>
      <c r="H14" s="13">
        <v>1</v>
      </c>
      <c r="I14" s="13">
        <f>5+6+4+4+4+6+4+4+3+3+3+4+5+5+6+2+2+2+2+2+2+2+2+2+3+2</f>
        <v>89</v>
      </c>
      <c r="J14" s="44">
        <v>2</v>
      </c>
      <c r="K14" s="47">
        <f t="shared" si="13"/>
        <v>110</v>
      </c>
      <c r="L14" s="13">
        <v>6</v>
      </c>
      <c r="M14" s="13">
        <v>4</v>
      </c>
      <c r="N14" s="13">
        <v>0</v>
      </c>
      <c r="O14" s="19">
        <f t="shared" si="1"/>
        <v>10</v>
      </c>
      <c r="P14" s="13">
        <v>1</v>
      </c>
      <c r="Q14" s="57">
        <v>4</v>
      </c>
      <c r="R14" s="59">
        <f t="shared" si="14"/>
        <v>5</v>
      </c>
      <c r="S14" s="13">
        <v>2</v>
      </c>
      <c r="T14" s="13">
        <v>0</v>
      </c>
      <c r="U14" s="13">
        <v>4</v>
      </c>
      <c r="V14" s="13">
        <v>0</v>
      </c>
      <c r="W14" s="19">
        <f t="shared" si="15"/>
        <v>6</v>
      </c>
      <c r="X14" s="19">
        <f t="shared" si="16"/>
        <v>131</v>
      </c>
      <c r="Y14" s="14" t="s">
        <v>68</v>
      </c>
    </row>
    <row r="15" spans="1:32" ht="54">
      <c r="A15" s="49" t="s">
        <v>53</v>
      </c>
      <c r="B15" s="13">
        <v>5</v>
      </c>
      <c r="C15" s="13">
        <v>5</v>
      </c>
      <c r="D15" s="13">
        <v>4</v>
      </c>
      <c r="E15" s="13">
        <v>2</v>
      </c>
      <c r="F15" s="13">
        <v>8</v>
      </c>
      <c r="G15" s="13">
        <v>3</v>
      </c>
      <c r="H15" s="13">
        <v>1</v>
      </c>
      <c r="I15" s="13">
        <f>5+3+3+5+3+5+5+5+4+4+4+4+4+4+4+6+6+3+3+3+3+3</f>
        <v>89</v>
      </c>
      <c r="J15" s="44">
        <v>3</v>
      </c>
      <c r="K15" s="47">
        <f>SUM(B15:J15)</f>
        <v>120</v>
      </c>
      <c r="L15" s="13">
        <f>8+9+8</f>
        <v>25</v>
      </c>
      <c r="M15" s="13">
        <v>5</v>
      </c>
      <c r="N15" s="13">
        <v>0</v>
      </c>
      <c r="O15" s="19">
        <f t="shared" si="1"/>
        <v>30</v>
      </c>
      <c r="P15" s="13">
        <v>2</v>
      </c>
      <c r="Q15" s="57">
        <v>4</v>
      </c>
      <c r="R15" s="59">
        <f>SUM(P15:Q15)</f>
        <v>6</v>
      </c>
      <c r="S15" s="13">
        <v>3</v>
      </c>
      <c r="T15" s="13">
        <v>0</v>
      </c>
      <c r="U15" s="13">
        <v>4</v>
      </c>
      <c r="V15" s="13">
        <v>0</v>
      </c>
      <c r="W15" s="19">
        <f>SUM(S15:V15)</f>
        <v>7</v>
      </c>
      <c r="X15" s="19">
        <f>SUM(K15+O15+R15+W15)</f>
        <v>163</v>
      </c>
      <c r="Y15" s="14" t="s">
        <v>66</v>
      </c>
    </row>
    <row r="16" spans="1:32" ht="54">
      <c r="A16" s="49" t="s">
        <v>56</v>
      </c>
      <c r="B16" s="13">
        <v>4</v>
      </c>
      <c r="C16" s="13">
        <v>4</v>
      </c>
      <c r="D16" s="13">
        <v>4</v>
      </c>
      <c r="E16" s="13">
        <v>4</v>
      </c>
      <c r="F16" s="13">
        <v>5</v>
      </c>
      <c r="G16" s="13">
        <v>3</v>
      </c>
      <c r="H16" s="13">
        <v>4</v>
      </c>
      <c r="I16" s="13">
        <f>3+6+6+6+6+4+5+5+5+5+5+6+6+5+6+4+7+8+4+4+4+4+4+4+5+10</f>
        <v>137</v>
      </c>
      <c r="J16" s="44">
        <v>2</v>
      </c>
      <c r="K16" s="47">
        <f t="shared" ref="K16" si="17">SUM(B16:J16)</f>
        <v>167</v>
      </c>
      <c r="L16" s="13">
        <v>3</v>
      </c>
      <c r="M16" s="13">
        <v>5</v>
      </c>
      <c r="N16" s="13">
        <v>0</v>
      </c>
      <c r="O16" s="19">
        <f t="shared" si="1"/>
        <v>8</v>
      </c>
      <c r="P16" s="13">
        <v>3</v>
      </c>
      <c r="Q16" s="57">
        <v>4</v>
      </c>
      <c r="R16" s="59">
        <f t="shared" ref="R16" si="18">SUM(P16:Q16)</f>
        <v>7</v>
      </c>
      <c r="S16" s="13">
        <v>3</v>
      </c>
      <c r="T16" s="13">
        <v>0</v>
      </c>
      <c r="U16" s="13">
        <v>4</v>
      </c>
      <c r="V16" s="13">
        <v>0</v>
      </c>
      <c r="W16" s="19">
        <f t="shared" ref="W16" si="19">SUM(S16:V16)</f>
        <v>7</v>
      </c>
      <c r="X16" s="19">
        <f t="shared" ref="X16" si="20">SUM(K16+O16+R16+W16)</f>
        <v>189</v>
      </c>
      <c r="Y16" s="14" t="s">
        <v>65</v>
      </c>
    </row>
    <row r="17" spans="1:25" ht="54">
      <c r="A17" s="49" t="s">
        <v>57</v>
      </c>
      <c r="B17" s="79" t="s">
        <v>46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1"/>
      <c r="X17" s="19">
        <v>0</v>
      </c>
      <c r="Y17" s="13"/>
    </row>
    <row r="18" spans="1:25" ht="54">
      <c r="A18" s="52" t="s">
        <v>59</v>
      </c>
      <c r="B18" s="53">
        <v>4</v>
      </c>
      <c r="C18" s="53">
        <v>4</v>
      </c>
      <c r="D18" s="53">
        <v>4</v>
      </c>
      <c r="E18" s="53">
        <v>3</v>
      </c>
      <c r="F18" s="53">
        <v>7</v>
      </c>
      <c r="G18" s="53">
        <v>0</v>
      </c>
      <c r="H18" s="53">
        <v>0</v>
      </c>
      <c r="I18" s="53">
        <f>3+3+5+5+3+4+6</f>
        <v>29</v>
      </c>
      <c r="J18" s="53">
        <v>0</v>
      </c>
      <c r="K18" s="54">
        <f>SUM(B18:J18)</f>
        <v>51</v>
      </c>
      <c r="L18" s="53">
        <v>0</v>
      </c>
      <c r="M18" s="53">
        <v>5</v>
      </c>
      <c r="N18" s="53">
        <v>0</v>
      </c>
      <c r="O18" s="55">
        <f>SUM(L18:N18)</f>
        <v>5</v>
      </c>
      <c r="P18" s="53">
        <v>0</v>
      </c>
      <c r="Q18" s="53">
        <v>2</v>
      </c>
      <c r="R18" s="55">
        <f>SUM(P18:Q18)</f>
        <v>2</v>
      </c>
      <c r="S18" s="53">
        <v>3</v>
      </c>
      <c r="T18" s="53">
        <v>0</v>
      </c>
      <c r="U18" s="53">
        <v>0</v>
      </c>
      <c r="V18" s="53">
        <v>11</v>
      </c>
      <c r="W18" s="55">
        <f>SUM(S18:V18)</f>
        <v>14</v>
      </c>
      <c r="X18" s="55">
        <v>72</v>
      </c>
      <c r="Y18" s="53" t="s">
        <v>62</v>
      </c>
    </row>
    <row r="19" spans="1:25" ht="54">
      <c r="A19" s="50" t="s">
        <v>55</v>
      </c>
      <c r="B19" s="33">
        <v>4</v>
      </c>
      <c r="C19" s="33">
        <v>4</v>
      </c>
      <c r="D19" s="33">
        <v>4</v>
      </c>
      <c r="E19" s="33">
        <v>3</v>
      </c>
      <c r="F19" s="33">
        <v>6</v>
      </c>
      <c r="G19" s="33">
        <v>0</v>
      </c>
      <c r="H19" s="33">
        <v>0</v>
      </c>
      <c r="I19" s="33">
        <f>3+3+3+3+3+3+3+3+3+3+3+4+5</f>
        <v>42</v>
      </c>
      <c r="J19" s="53">
        <v>0</v>
      </c>
      <c r="K19" s="48">
        <f>SUM(B19:J19)</f>
        <v>63</v>
      </c>
      <c r="L19" s="33">
        <f>5+5</f>
        <v>10</v>
      </c>
      <c r="M19" s="33">
        <v>5</v>
      </c>
      <c r="N19" s="33">
        <v>0</v>
      </c>
      <c r="O19" s="34">
        <f>SUM(L19:N19)</f>
        <v>15</v>
      </c>
      <c r="P19" s="33">
        <v>0</v>
      </c>
      <c r="Q19" s="53">
        <v>2</v>
      </c>
      <c r="R19" s="55">
        <f>SUM(P19:Q19)</f>
        <v>2</v>
      </c>
      <c r="S19" s="33">
        <v>3</v>
      </c>
      <c r="T19" s="33">
        <v>0</v>
      </c>
      <c r="U19" s="33">
        <v>0</v>
      </c>
      <c r="V19" s="33">
        <v>0</v>
      </c>
      <c r="W19" s="34">
        <f>SUM(S19:V19)</f>
        <v>3</v>
      </c>
      <c r="X19" s="34">
        <f>SUM(K19+O19+R19+W19)</f>
        <v>83</v>
      </c>
      <c r="Y19" s="33" t="s">
        <v>61</v>
      </c>
    </row>
    <row r="20" spans="1:25" ht="54">
      <c r="A20" s="50" t="s">
        <v>54</v>
      </c>
      <c r="B20" s="71" t="s">
        <v>46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3"/>
      <c r="X20" s="34">
        <f>SUM(K20+O20+R20+W20)</f>
        <v>0</v>
      </c>
      <c r="Y20" s="33"/>
    </row>
    <row r="21" spans="1:25" ht="54">
      <c r="A21" s="52" t="s">
        <v>58</v>
      </c>
      <c r="B21" s="82" t="s">
        <v>46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  <c r="X21" s="34">
        <f>SUM(K21+O21+R21+W21)</f>
        <v>0</v>
      </c>
      <c r="Y21" s="51"/>
    </row>
  </sheetData>
  <mergeCells count="9">
    <mergeCell ref="B17:W17"/>
    <mergeCell ref="B20:W20"/>
    <mergeCell ref="B21:W21"/>
    <mergeCell ref="A1:AF1"/>
    <mergeCell ref="B3:K3"/>
    <mergeCell ref="L3:O3"/>
    <mergeCell ref="P3:R3"/>
    <mergeCell ref="S3:W3"/>
    <mergeCell ref="X3:Y3"/>
  </mergeCells>
  <pageMargins left="0.70866141732283472" right="0.70866141732283472" top="0.74803149606299213" bottom="0.74803149606299213" header="0.31496062992125984" footer="0.31496062992125984"/>
  <pageSetup paperSize="9" scale="52" fitToWidth="2" fitToHeight="2" orientation="landscape" verticalDpi="0" r:id="rId1"/>
  <rowBreaks count="3" manualBreakCount="3">
    <brk id="6" max="24" man="1"/>
    <brk id="11" max="24" man="1"/>
    <brk id="20" max="24" man="1"/>
  </rowBreaks>
  <colBreaks count="3" manualBreakCount="3">
    <brk id="1" max="20" man="1"/>
    <brk id="17" max="20" man="1"/>
    <brk id="24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30" zoomScaleNormal="30" workbookViewId="0">
      <selection activeCell="H34" sqref="H34"/>
    </sheetView>
  </sheetViews>
  <sheetFormatPr defaultRowHeight="15"/>
  <cols>
    <col min="1" max="1" width="65.5703125" customWidth="1"/>
    <col min="2" max="2" width="13" customWidth="1"/>
    <col min="3" max="3" width="9.85546875" customWidth="1"/>
    <col min="4" max="4" width="14.7109375" customWidth="1"/>
    <col min="5" max="5" width="15.5703125" customWidth="1"/>
    <col min="9" max="9" width="20.85546875" customWidth="1"/>
    <col min="11" max="11" width="11.42578125" customWidth="1"/>
    <col min="12" max="12" width="18.7109375" customWidth="1"/>
    <col min="13" max="13" width="13.140625" customWidth="1"/>
    <col min="15" max="15" width="25.85546875" customWidth="1"/>
    <col min="16" max="16" width="18" customWidth="1"/>
    <col min="17" max="17" width="12" customWidth="1"/>
    <col min="18" max="18" width="49" customWidth="1"/>
    <col min="20" max="20" width="15.7109375" customWidth="1"/>
    <col min="22" max="22" width="10.5703125" customWidth="1"/>
    <col min="23" max="23" width="24.7109375" customWidth="1"/>
    <col min="24" max="24" width="30.140625" customWidth="1"/>
    <col min="25" max="25" width="25.28515625" customWidth="1"/>
  </cols>
  <sheetData>
    <row r="1" spans="1:32" ht="27">
      <c r="A1" s="75" t="s">
        <v>69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</row>
    <row r="3" spans="1:32" ht="33">
      <c r="A3" s="8"/>
      <c r="B3" s="67" t="s">
        <v>12</v>
      </c>
      <c r="C3" s="67"/>
      <c r="D3" s="67"/>
      <c r="E3" s="67"/>
      <c r="F3" s="67"/>
      <c r="G3" s="67"/>
      <c r="H3" s="67"/>
      <c r="I3" s="67"/>
      <c r="J3" s="74"/>
      <c r="K3" s="74"/>
      <c r="L3" s="76" t="s">
        <v>14</v>
      </c>
      <c r="M3" s="77"/>
      <c r="N3" s="77"/>
      <c r="O3" s="78"/>
      <c r="P3" s="69" t="s">
        <v>20</v>
      </c>
      <c r="Q3" s="74"/>
      <c r="R3" s="74"/>
      <c r="S3" s="69" t="s">
        <v>21</v>
      </c>
      <c r="T3" s="68"/>
      <c r="U3" s="68"/>
      <c r="V3" s="68"/>
      <c r="W3" s="68"/>
      <c r="X3" s="69" t="s">
        <v>32</v>
      </c>
      <c r="Y3" s="68"/>
    </row>
    <row r="4" spans="1:32" ht="409.5">
      <c r="A4" s="3"/>
      <c r="B4" s="4" t="s">
        <v>27</v>
      </c>
      <c r="C4" s="4" t="s">
        <v>28</v>
      </c>
      <c r="D4" s="4" t="s">
        <v>29</v>
      </c>
      <c r="E4" s="4" t="s">
        <v>9</v>
      </c>
      <c r="F4" s="4" t="s">
        <v>31</v>
      </c>
      <c r="G4" s="4" t="s">
        <v>10</v>
      </c>
      <c r="H4" s="4" t="s">
        <v>11</v>
      </c>
      <c r="I4" s="4" t="s">
        <v>41</v>
      </c>
      <c r="J4" s="32" t="s">
        <v>42</v>
      </c>
      <c r="K4" s="40" t="s">
        <v>18</v>
      </c>
      <c r="L4" s="4" t="s">
        <v>15</v>
      </c>
      <c r="M4" s="4" t="s">
        <v>16</v>
      </c>
      <c r="N4" s="4" t="s">
        <v>17</v>
      </c>
      <c r="O4" s="6" t="s">
        <v>18</v>
      </c>
      <c r="P4" s="42" t="s">
        <v>19</v>
      </c>
      <c r="Q4" s="31" t="s">
        <v>43</v>
      </c>
      <c r="R4" s="41" t="s">
        <v>18</v>
      </c>
      <c r="S4" s="4" t="s">
        <v>22</v>
      </c>
      <c r="T4" s="4" t="s">
        <v>30</v>
      </c>
      <c r="U4" s="4" t="s">
        <v>23</v>
      </c>
      <c r="V4" s="4" t="s">
        <v>24</v>
      </c>
      <c r="W4" s="43" t="s">
        <v>44</v>
      </c>
      <c r="X4" s="5" t="s">
        <v>25</v>
      </c>
      <c r="Y4" s="5" t="s">
        <v>8</v>
      </c>
    </row>
    <row r="5" spans="1:32" ht="27">
      <c r="A5" s="12" t="s">
        <v>34</v>
      </c>
      <c r="B5" s="12">
        <v>5</v>
      </c>
      <c r="C5" s="12">
        <v>5</v>
      </c>
      <c r="D5" s="17">
        <v>4</v>
      </c>
      <c r="E5" s="12">
        <v>0</v>
      </c>
      <c r="F5" s="12">
        <v>8</v>
      </c>
      <c r="G5" s="12">
        <v>4</v>
      </c>
      <c r="H5" s="12">
        <v>1</v>
      </c>
      <c r="I5" s="12">
        <f>3+4+5+6+5+5+6+6+4+4+5+4+5+5+3+6+5+6+6+4+5+5+5+3+6+6+4+4+4+6+5+6+5+6+5+6+4+5+5+6+3+3+3+3+3+3+3+3+3+3+3+3+3+3+3+3+3+3+3+3+3+3+3+3+3+3+5+3+3+3+3+3+3+3+9+5+4+4+4+8+8+8+7+6+8+8+7+7+6+6+7+8+7+5+8+8+8+5+7+6+6+5+8+6+7+8+9+9+7+7+8+10+5+5+5+7+7+7+7+10+10+10+7+7+7+7+7+7+7+7</f>
        <v>695</v>
      </c>
      <c r="J5" s="45">
        <v>3</v>
      </c>
      <c r="K5" s="46">
        <f>SUM(B5:J5)</f>
        <v>725</v>
      </c>
      <c r="L5" s="12">
        <f>8+9+9+8+4+6+6+6+6+6+6+6+4+5+6+4+4+5+6+6+6+7</f>
        <v>133</v>
      </c>
      <c r="M5" s="12">
        <v>5</v>
      </c>
      <c r="N5" s="12">
        <v>0</v>
      </c>
      <c r="O5" s="16">
        <f>SUM(L5:N5)</f>
        <v>138</v>
      </c>
      <c r="P5" s="12">
        <v>2</v>
      </c>
      <c r="Q5" s="56">
        <v>4</v>
      </c>
      <c r="R5" s="58">
        <f>SUM(P5:Q5)</f>
        <v>6</v>
      </c>
      <c r="S5" s="12">
        <v>2</v>
      </c>
      <c r="T5" s="12">
        <v>-24</v>
      </c>
      <c r="U5" s="12">
        <v>4</v>
      </c>
      <c r="V5" s="12">
        <v>0</v>
      </c>
      <c r="W5" s="16">
        <f>SUM(S5:V5)</f>
        <v>-18</v>
      </c>
      <c r="X5" s="16">
        <f>W5+R5+O5+K5</f>
        <v>851</v>
      </c>
      <c r="Y5" s="11" t="s">
        <v>62</v>
      </c>
    </row>
    <row r="6" spans="1:32" ht="27">
      <c r="A6" s="12" t="s">
        <v>33</v>
      </c>
      <c r="B6" s="12">
        <v>5</v>
      </c>
      <c r="C6" s="12">
        <v>5</v>
      </c>
      <c r="D6" s="17">
        <v>4</v>
      </c>
      <c r="E6" s="12">
        <v>0</v>
      </c>
      <c r="F6" s="12">
        <v>8</v>
      </c>
      <c r="G6" s="12">
        <v>4</v>
      </c>
      <c r="H6" s="12">
        <v>1</v>
      </c>
      <c r="I6" s="12">
        <f>4+4+3+3+3+3+3+3+3+6+6+6+5+5+5+5+5+5+5+5+5+6+4+3+3+3+3+3+3+5+5+5+5+5+10+5+5+5+5+5+7+6+5+4+6+10+10+10+10+10+10+10+10+10+10+10+10+10+10+10+10+10+10+10+10+10+18+6+3+5+6+6+6+6+6+6+6+5+6+6+6+6+6+4+5+5+4+5+6+6+6+6+3+6+4+6+5+6+6+12+5+5+9+10+10+8</f>
        <v>669</v>
      </c>
      <c r="J6" s="45">
        <v>3</v>
      </c>
      <c r="K6" s="46">
        <f>SUM(B6:J6)</f>
        <v>699</v>
      </c>
      <c r="L6" s="12">
        <f>5+4+4+5+6+4+5+4+5+5+4</f>
        <v>51</v>
      </c>
      <c r="M6" s="12">
        <v>5</v>
      </c>
      <c r="N6" s="12">
        <v>3</v>
      </c>
      <c r="O6" s="16">
        <f>SUM(L6:N6)</f>
        <v>59</v>
      </c>
      <c r="P6" s="12">
        <v>2</v>
      </c>
      <c r="Q6" s="56">
        <v>4</v>
      </c>
      <c r="R6" s="58">
        <f>SUM(P6:Q6)</f>
        <v>6</v>
      </c>
      <c r="S6" s="12">
        <v>2</v>
      </c>
      <c r="T6" s="12">
        <v>-8</v>
      </c>
      <c r="U6" s="12">
        <v>4</v>
      </c>
      <c r="V6" s="12">
        <f>192+112+10</f>
        <v>314</v>
      </c>
      <c r="W6" s="16">
        <f>SUM(S6:V6)</f>
        <v>312</v>
      </c>
      <c r="X6" s="16">
        <f>W6+R6+O6+K6</f>
        <v>1076</v>
      </c>
      <c r="Y6" s="11" t="s">
        <v>61</v>
      </c>
    </row>
    <row r="7" spans="1:32" ht="27">
      <c r="A7" s="12" t="s">
        <v>70</v>
      </c>
      <c r="B7" s="12">
        <v>4</v>
      </c>
      <c r="C7" s="12">
        <v>4</v>
      </c>
      <c r="D7" s="17">
        <v>4</v>
      </c>
      <c r="E7" s="12">
        <v>0</v>
      </c>
      <c r="F7" s="12">
        <v>8</v>
      </c>
      <c r="G7" s="12">
        <v>3</v>
      </c>
      <c r="H7" s="12">
        <v>1</v>
      </c>
      <c r="I7" s="12">
        <v>235</v>
      </c>
      <c r="J7" s="45">
        <v>3</v>
      </c>
      <c r="K7" s="46">
        <f>SUM(B7:J7)</f>
        <v>262</v>
      </c>
      <c r="L7" s="12">
        <v>41</v>
      </c>
      <c r="M7" s="12">
        <v>5</v>
      </c>
      <c r="N7" s="12">
        <v>4</v>
      </c>
      <c r="O7" s="16">
        <f>SUM(L7:N7)</f>
        <v>50</v>
      </c>
      <c r="P7" s="12">
        <v>2</v>
      </c>
      <c r="Q7" s="56">
        <v>4</v>
      </c>
      <c r="R7" s="58">
        <f>SUM(P7:Q7)</f>
        <v>6</v>
      </c>
      <c r="S7" s="12">
        <v>2</v>
      </c>
      <c r="T7" s="12">
        <v>0</v>
      </c>
      <c r="U7" s="12">
        <v>3</v>
      </c>
      <c r="V7" s="12">
        <v>6</v>
      </c>
      <c r="W7" s="16">
        <f>SUM(S7:V7)</f>
        <v>11</v>
      </c>
      <c r="X7" s="16">
        <f>W7+R7+O7+K7</f>
        <v>329</v>
      </c>
      <c r="Y7" s="11" t="s">
        <v>64</v>
      </c>
    </row>
    <row r="8" spans="1:32" ht="27">
      <c r="A8" s="12" t="s">
        <v>71</v>
      </c>
      <c r="B8" s="12">
        <v>5</v>
      </c>
      <c r="C8" s="12">
        <v>5</v>
      </c>
      <c r="D8" s="17">
        <v>4</v>
      </c>
      <c r="E8" s="12">
        <v>3</v>
      </c>
      <c r="F8" s="17">
        <v>8</v>
      </c>
      <c r="G8" s="17">
        <v>3</v>
      </c>
      <c r="H8" s="12">
        <v>1</v>
      </c>
      <c r="I8" s="12">
        <v>507</v>
      </c>
      <c r="J8" s="45">
        <v>3</v>
      </c>
      <c r="K8" s="46">
        <f>SUM(B8:J8)</f>
        <v>539</v>
      </c>
      <c r="L8" s="12">
        <v>203</v>
      </c>
      <c r="M8" s="12">
        <v>5</v>
      </c>
      <c r="N8" s="12">
        <v>2</v>
      </c>
      <c r="O8" s="16">
        <f>SUM(L8:N8)</f>
        <v>210</v>
      </c>
      <c r="P8" s="12">
        <v>2</v>
      </c>
      <c r="Q8" s="56">
        <v>4</v>
      </c>
      <c r="R8" s="58">
        <f>SUM(P8:Q8)</f>
        <v>6</v>
      </c>
      <c r="S8" s="12">
        <v>3</v>
      </c>
      <c r="T8" s="12">
        <v>-10</v>
      </c>
      <c r="U8" s="12">
        <v>4</v>
      </c>
      <c r="V8" s="12">
        <v>19</v>
      </c>
      <c r="W8" s="16">
        <f>SUM(S8:V8)</f>
        <v>16</v>
      </c>
      <c r="X8" s="16">
        <f>W8+R8+O8+K8</f>
        <v>771</v>
      </c>
      <c r="Y8" s="11" t="s">
        <v>63</v>
      </c>
    </row>
    <row r="9" spans="1:32" ht="78.75" customHeight="1">
      <c r="A9" s="49" t="s">
        <v>47</v>
      </c>
      <c r="B9" s="13">
        <v>5</v>
      </c>
      <c r="C9" s="13">
        <v>5</v>
      </c>
      <c r="D9" s="20">
        <v>4</v>
      </c>
      <c r="E9" s="13">
        <v>4</v>
      </c>
      <c r="F9" s="13">
        <v>8</v>
      </c>
      <c r="G9" s="13">
        <v>3</v>
      </c>
      <c r="H9" s="13">
        <v>1</v>
      </c>
      <c r="I9" s="13">
        <f>7+3+5+4+5+5+5+5+6+6+6+6+5+6+6+3+3+3+3+3+3+4</f>
        <v>102</v>
      </c>
      <c r="J9" s="13">
        <v>3</v>
      </c>
      <c r="K9" s="19">
        <f>SUM(B9:J9)</f>
        <v>135</v>
      </c>
      <c r="L9" s="13">
        <f>8+9+10+10+11+11+10+11+11+4</f>
        <v>95</v>
      </c>
      <c r="M9" s="13">
        <v>5</v>
      </c>
      <c r="N9" s="13">
        <v>3</v>
      </c>
      <c r="O9" s="19">
        <f>SUM(L9:N9)</f>
        <v>103</v>
      </c>
      <c r="P9" s="13">
        <v>2</v>
      </c>
      <c r="Q9" s="13">
        <v>4</v>
      </c>
      <c r="R9" s="19">
        <f t="shared" ref="R9:R16" si="0">SUM(P9:Q9)</f>
        <v>6</v>
      </c>
      <c r="S9" s="13">
        <v>3</v>
      </c>
      <c r="T9" s="13">
        <v>0</v>
      </c>
      <c r="U9" s="13">
        <v>4</v>
      </c>
      <c r="V9" s="13">
        <v>0</v>
      </c>
      <c r="W9" s="19">
        <f>SUM(S9:V9)</f>
        <v>7</v>
      </c>
      <c r="X9" s="19">
        <f>W9+R9+O9+K9</f>
        <v>251</v>
      </c>
      <c r="Y9" s="14" t="s">
        <v>63</v>
      </c>
    </row>
    <row r="10" spans="1:32" ht="85.5" customHeight="1">
      <c r="A10" s="49" t="s">
        <v>48</v>
      </c>
      <c r="B10" s="13">
        <v>5</v>
      </c>
      <c r="C10" s="13">
        <v>5</v>
      </c>
      <c r="D10" s="20">
        <v>4</v>
      </c>
      <c r="E10" s="13">
        <v>0</v>
      </c>
      <c r="F10" s="13">
        <v>8</v>
      </c>
      <c r="G10" s="13">
        <v>2</v>
      </c>
      <c r="H10" s="13">
        <v>1</v>
      </c>
      <c r="I10" s="13">
        <f>3+3+4+4+4+4+4+6+6+6+6+6+6+6+6+6+6+6+6+6+6+5+6+6+3+3+5+5+5+5+5+5+5+8+4+5+5+5+5+5+6+7+8+7+3+3+6+6+4+3+7</f>
        <v>265</v>
      </c>
      <c r="J10" s="13">
        <v>0</v>
      </c>
      <c r="K10" s="19">
        <f>SUM(B10:J10)</f>
        <v>290</v>
      </c>
      <c r="L10" s="13">
        <f>4+4+5+5+4+4+4+4+4+4+4+4+5+5+5+5+5+5+5+3+3+3+3+3+3+3+3+5+5</f>
        <v>119</v>
      </c>
      <c r="M10" s="13">
        <v>5</v>
      </c>
      <c r="N10" s="13">
        <v>0</v>
      </c>
      <c r="O10" s="19">
        <f>SUM(L10:N10)</f>
        <v>124</v>
      </c>
      <c r="P10" s="13">
        <v>3</v>
      </c>
      <c r="Q10" s="13">
        <v>4</v>
      </c>
      <c r="R10" s="19">
        <f t="shared" si="0"/>
        <v>7</v>
      </c>
      <c r="S10" s="13">
        <v>3</v>
      </c>
      <c r="T10" s="13">
        <v>0</v>
      </c>
      <c r="U10" s="13">
        <v>4</v>
      </c>
      <c r="V10" s="13">
        <v>33</v>
      </c>
      <c r="W10" s="19">
        <f>SUM(S10:V10)</f>
        <v>40</v>
      </c>
      <c r="X10" s="19">
        <f>W10+R10+O10+K10</f>
        <v>461</v>
      </c>
      <c r="Y10" s="14" t="s">
        <v>62</v>
      </c>
    </row>
    <row r="11" spans="1:32" ht="65.25" customHeight="1">
      <c r="A11" s="49" t="s">
        <v>49</v>
      </c>
      <c r="B11" s="13">
        <v>5</v>
      </c>
      <c r="C11" s="13">
        <v>5</v>
      </c>
      <c r="D11" s="20">
        <v>4</v>
      </c>
      <c r="E11" s="13">
        <v>3</v>
      </c>
      <c r="F11" s="13">
        <v>8</v>
      </c>
      <c r="G11" s="13">
        <v>3</v>
      </c>
      <c r="H11" s="13">
        <v>3</v>
      </c>
      <c r="I11" s="13">
        <f>3+5+4+6+7+7+5+5+5+5+5+3+3+5+6+3+5+3+3+6+6+5+6+6+4+5+6+6+7+7+7+8+7+7+8+7+8+7+7+7+7+7+7+7+7+7+6+8+7+8</f>
        <v>296</v>
      </c>
      <c r="J11" s="13">
        <v>3</v>
      </c>
      <c r="K11" s="19">
        <f t="shared" ref="K11" si="1">SUM(B11:J11)</f>
        <v>330</v>
      </c>
      <c r="L11" s="13">
        <f>8+7+7+7+4+4+4+4+5+4+4+5+5+5+5+5+5+5+4+5+4+4+5+6+4+4+4+6+4</f>
        <v>143</v>
      </c>
      <c r="M11" s="13">
        <v>5</v>
      </c>
      <c r="N11" s="13">
        <v>0</v>
      </c>
      <c r="O11" s="19">
        <f t="shared" ref="O11" si="2">SUM(L11:N11)</f>
        <v>148</v>
      </c>
      <c r="P11" s="13">
        <v>2</v>
      </c>
      <c r="Q11" s="13">
        <v>4</v>
      </c>
      <c r="R11" s="19">
        <f t="shared" si="0"/>
        <v>6</v>
      </c>
      <c r="S11" s="13">
        <v>3</v>
      </c>
      <c r="T11" s="13">
        <v>0</v>
      </c>
      <c r="U11" s="13">
        <v>4</v>
      </c>
      <c r="V11" s="13">
        <v>0</v>
      </c>
      <c r="W11" s="19">
        <f t="shared" ref="W11:W14" si="3">SUM(S11:V11)</f>
        <v>7</v>
      </c>
      <c r="X11" s="19">
        <f t="shared" ref="X11:X14" si="4">SUM(W11,R11,O11,K11)</f>
        <v>491</v>
      </c>
      <c r="Y11" s="14" t="s">
        <v>61</v>
      </c>
    </row>
    <row r="12" spans="1:32" ht="60.75" customHeight="1">
      <c r="A12" s="49" t="s">
        <v>50</v>
      </c>
      <c r="B12" s="13">
        <v>4</v>
      </c>
      <c r="C12" s="13">
        <v>4</v>
      </c>
      <c r="D12" s="20">
        <v>4</v>
      </c>
      <c r="E12" s="13">
        <v>3</v>
      </c>
      <c r="F12" s="13">
        <v>6</v>
      </c>
      <c r="G12" s="13">
        <v>3</v>
      </c>
      <c r="H12" s="13">
        <v>1</v>
      </c>
      <c r="I12" s="13">
        <f>4+4+5+4+5+5+6+6+4+6+4+3+3+3+3+3+5+5+7+7+7+7</f>
        <v>106</v>
      </c>
      <c r="J12" s="13">
        <v>3</v>
      </c>
      <c r="K12" s="19">
        <f>SUM(B12:J12)</f>
        <v>134</v>
      </c>
      <c r="L12" s="13">
        <v>0</v>
      </c>
      <c r="M12" s="13">
        <v>4</v>
      </c>
      <c r="N12" s="13">
        <v>0</v>
      </c>
      <c r="O12" s="19">
        <f>SUM(L12:N12)</f>
        <v>4</v>
      </c>
      <c r="P12" s="13">
        <v>1</v>
      </c>
      <c r="Q12" s="13">
        <v>4</v>
      </c>
      <c r="R12" s="19">
        <f t="shared" si="0"/>
        <v>5</v>
      </c>
      <c r="S12" s="13">
        <v>3</v>
      </c>
      <c r="T12" s="13">
        <v>0</v>
      </c>
      <c r="U12" s="13">
        <v>4</v>
      </c>
      <c r="V12" s="13">
        <v>0</v>
      </c>
      <c r="W12" s="19">
        <f t="shared" si="3"/>
        <v>7</v>
      </c>
      <c r="X12" s="19">
        <f>W12+R12+O12+K12</f>
        <v>150</v>
      </c>
      <c r="Y12" s="14" t="s">
        <v>64</v>
      </c>
    </row>
    <row r="13" spans="1:32" ht="87.75" customHeight="1">
      <c r="A13" s="60" t="s">
        <v>52</v>
      </c>
      <c r="B13" s="61">
        <v>4</v>
      </c>
      <c r="C13" s="61">
        <v>5</v>
      </c>
      <c r="D13" s="62">
        <v>4</v>
      </c>
      <c r="E13" s="61">
        <v>0</v>
      </c>
      <c r="F13" s="61">
        <v>8</v>
      </c>
      <c r="G13" s="61">
        <v>3</v>
      </c>
      <c r="H13" s="61">
        <v>1</v>
      </c>
      <c r="I13" s="61">
        <f>6+3+6+3+2+2+2+2+2+2+2+2+2+2+2+2+2+2+5+5+6+6+4+4+4+3+3+3+3+3+3</f>
        <v>98</v>
      </c>
      <c r="J13" s="61">
        <v>2</v>
      </c>
      <c r="K13" s="63">
        <f>SUM(B13:J13)</f>
        <v>125</v>
      </c>
      <c r="L13" s="61">
        <v>3</v>
      </c>
      <c r="M13" s="61">
        <v>4</v>
      </c>
      <c r="N13" s="61">
        <v>0</v>
      </c>
      <c r="O13" s="63">
        <f t="shared" ref="O13:O14" si="5">SUM(L13:N13)</f>
        <v>7</v>
      </c>
      <c r="P13" s="61">
        <v>2</v>
      </c>
      <c r="Q13" s="61">
        <v>2</v>
      </c>
      <c r="R13" s="63">
        <f t="shared" si="0"/>
        <v>4</v>
      </c>
      <c r="S13" s="61">
        <v>3</v>
      </c>
      <c r="T13" s="61">
        <v>0</v>
      </c>
      <c r="U13" s="61">
        <v>4</v>
      </c>
      <c r="V13" s="61">
        <v>0</v>
      </c>
      <c r="W13" s="63">
        <f t="shared" si="3"/>
        <v>7</v>
      </c>
      <c r="X13" s="63">
        <f t="shared" si="4"/>
        <v>143</v>
      </c>
      <c r="Y13" s="64" t="s">
        <v>63</v>
      </c>
    </row>
    <row r="14" spans="1:32" ht="72" customHeight="1">
      <c r="A14" s="60" t="s">
        <v>51</v>
      </c>
      <c r="B14" s="61">
        <v>2</v>
      </c>
      <c r="C14" s="61">
        <v>3</v>
      </c>
      <c r="D14" s="62">
        <v>4</v>
      </c>
      <c r="E14" s="61">
        <v>0</v>
      </c>
      <c r="F14" s="61">
        <v>8</v>
      </c>
      <c r="G14" s="61">
        <v>2</v>
      </c>
      <c r="H14" s="61">
        <v>2</v>
      </c>
      <c r="I14" s="61">
        <f>6+6+6+6+5+4+5+5+5+6+5+5+5+4+4+6+5+6+5+3+3+3+2+2+2+2+2+2+2+2+2+2+2+2+2+2+2+2+2+2+2+3</f>
        <v>149</v>
      </c>
      <c r="J14" s="61">
        <v>2</v>
      </c>
      <c r="K14" s="63">
        <f>SUM(B14:J14)</f>
        <v>172</v>
      </c>
      <c r="L14" s="61">
        <v>4</v>
      </c>
      <c r="M14" s="61">
        <v>4</v>
      </c>
      <c r="N14" s="61">
        <v>0</v>
      </c>
      <c r="O14" s="63">
        <f t="shared" si="5"/>
        <v>8</v>
      </c>
      <c r="P14" s="61">
        <v>1</v>
      </c>
      <c r="Q14" s="61">
        <v>4</v>
      </c>
      <c r="R14" s="63">
        <f t="shared" si="0"/>
        <v>5</v>
      </c>
      <c r="S14" s="61">
        <v>2</v>
      </c>
      <c r="T14" s="61">
        <v>0</v>
      </c>
      <c r="U14" s="61">
        <v>4</v>
      </c>
      <c r="V14" s="61">
        <v>0</v>
      </c>
      <c r="W14" s="63">
        <f t="shared" si="3"/>
        <v>6</v>
      </c>
      <c r="X14" s="63">
        <f t="shared" si="4"/>
        <v>191</v>
      </c>
      <c r="Y14" s="64" t="s">
        <v>61</v>
      </c>
    </row>
    <row r="15" spans="1:32" ht="63" customHeight="1">
      <c r="A15" s="60" t="s">
        <v>53</v>
      </c>
      <c r="B15" s="61">
        <v>5</v>
      </c>
      <c r="C15" s="61">
        <v>5</v>
      </c>
      <c r="D15" s="61">
        <v>5</v>
      </c>
      <c r="E15" s="61">
        <v>0</v>
      </c>
      <c r="F15" s="61">
        <v>8</v>
      </c>
      <c r="G15" s="61">
        <v>3</v>
      </c>
      <c r="H15" s="61">
        <v>1</v>
      </c>
      <c r="I15" s="61">
        <f>4+3+3+3+7+7+3+3+3+3+4+4+5+4+5+3+5+5</f>
        <v>74</v>
      </c>
      <c r="J15" s="61">
        <v>3</v>
      </c>
      <c r="K15" s="63">
        <f>SUM(B15:J15)</f>
        <v>104</v>
      </c>
      <c r="L15" s="61">
        <v>0</v>
      </c>
      <c r="M15" s="61">
        <v>5</v>
      </c>
      <c r="N15" s="61">
        <v>0</v>
      </c>
      <c r="O15" s="63">
        <f>SUM(L15:N15)</f>
        <v>5</v>
      </c>
      <c r="P15" s="61">
        <v>3</v>
      </c>
      <c r="Q15" s="61">
        <v>4</v>
      </c>
      <c r="R15" s="63">
        <f t="shared" si="0"/>
        <v>7</v>
      </c>
      <c r="S15" s="61">
        <v>3</v>
      </c>
      <c r="T15" s="61">
        <v>0</v>
      </c>
      <c r="U15" s="61">
        <v>4</v>
      </c>
      <c r="V15" s="61">
        <v>0</v>
      </c>
      <c r="W15" s="63">
        <f>SUM(S15:V15)</f>
        <v>7</v>
      </c>
      <c r="X15" s="63">
        <f>W15+R15+O15+K15</f>
        <v>123</v>
      </c>
      <c r="Y15" s="64" t="s">
        <v>64</v>
      </c>
    </row>
    <row r="16" spans="1:32" ht="62.25" customHeight="1">
      <c r="A16" s="60" t="s">
        <v>56</v>
      </c>
      <c r="B16" s="61">
        <v>3</v>
      </c>
      <c r="C16" s="61">
        <v>4</v>
      </c>
      <c r="D16" s="61">
        <v>4</v>
      </c>
      <c r="E16" s="61">
        <v>4</v>
      </c>
      <c r="F16" s="61">
        <v>5</v>
      </c>
      <c r="G16" s="61">
        <v>3</v>
      </c>
      <c r="H16" s="61">
        <v>1</v>
      </c>
      <c r="I16" s="61">
        <f>6+6+6+5+5+5+5+5+5+5+4+5+6+3+3+5+3+3+3+3+3+3+3+7+3+3+3+5+5+7</f>
        <v>133</v>
      </c>
      <c r="J16" s="61">
        <v>2</v>
      </c>
      <c r="K16" s="63">
        <f>SUM(B16:J16)</f>
        <v>159</v>
      </c>
      <c r="L16" s="61">
        <v>4</v>
      </c>
      <c r="M16" s="61">
        <v>5</v>
      </c>
      <c r="N16" s="61">
        <v>0</v>
      </c>
      <c r="O16" s="63">
        <f>SUM(L16:N16)</f>
        <v>9</v>
      </c>
      <c r="P16" s="61">
        <v>3</v>
      </c>
      <c r="Q16" s="61">
        <v>4</v>
      </c>
      <c r="R16" s="63">
        <f t="shared" si="0"/>
        <v>7</v>
      </c>
      <c r="S16" s="61">
        <v>3</v>
      </c>
      <c r="T16" s="61">
        <v>0</v>
      </c>
      <c r="U16" s="61">
        <v>4</v>
      </c>
      <c r="V16" s="61">
        <v>0</v>
      </c>
      <c r="W16" s="63">
        <f>SUM(S16:V16)</f>
        <v>7</v>
      </c>
      <c r="X16" s="63">
        <f>W16+R16+O16+K16</f>
        <v>182</v>
      </c>
      <c r="Y16" s="64" t="s">
        <v>62</v>
      </c>
    </row>
    <row r="17" spans="1:25" ht="68.25" customHeight="1">
      <c r="A17" s="60" t="s">
        <v>57</v>
      </c>
      <c r="B17" s="85" t="s">
        <v>46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  <c r="Y17" s="88"/>
    </row>
    <row r="18" spans="1:25" ht="66" customHeight="1">
      <c r="A18" s="52" t="s">
        <v>59</v>
      </c>
      <c r="B18" s="33">
        <v>5</v>
      </c>
      <c r="C18" s="33">
        <v>5</v>
      </c>
      <c r="D18" s="33">
        <v>5</v>
      </c>
      <c r="E18" s="33">
        <v>3</v>
      </c>
      <c r="F18" s="33">
        <v>8</v>
      </c>
      <c r="G18" s="33">
        <v>0</v>
      </c>
      <c r="H18" s="33">
        <v>0</v>
      </c>
      <c r="I18" s="33">
        <v>57</v>
      </c>
      <c r="J18" s="33">
        <v>0</v>
      </c>
      <c r="K18" s="34">
        <f>SUM(B18:J18)</f>
        <v>83</v>
      </c>
      <c r="L18" s="33">
        <v>0</v>
      </c>
      <c r="M18" s="33">
        <v>5</v>
      </c>
      <c r="N18" s="33">
        <v>0</v>
      </c>
      <c r="O18" s="34">
        <f>SUM(L18:N18)</f>
        <v>5</v>
      </c>
      <c r="P18" s="33">
        <v>0</v>
      </c>
      <c r="Q18" s="33">
        <v>3</v>
      </c>
      <c r="R18" s="34">
        <f>SUM(P18:Q18)</f>
        <v>3</v>
      </c>
      <c r="S18" s="33">
        <v>3</v>
      </c>
      <c r="T18" s="33">
        <v>0</v>
      </c>
      <c r="U18" s="33">
        <v>4</v>
      </c>
      <c r="V18" s="33">
        <v>3</v>
      </c>
      <c r="W18" s="34">
        <f>SUM(S18:V18)</f>
        <v>10</v>
      </c>
      <c r="X18" s="34">
        <f>W18+R18+O18+K18</f>
        <v>101</v>
      </c>
      <c r="Y18" s="33" t="s">
        <v>61</v>
      </c>
    </row>
    <row r="19" spans="1:25" ht="66" customHeight="1">
      <c r="A19" s="50" t="s">
        <v>55</v>
      </c>
      <c r="B19" s="33">
        <v>5</v>
      </c>
      <c r="C19" s="33">
        <v>5</v>
      </c>
      <c r="D19" s="33">
        <v>5</v>
      </c>
      <c r="E19" s="33">
        <v>2</v>
      </c>
      <c r="F19" s="33">
        <v>6</v>
      </c>
      <c r="G19" s="33">
        <v>0</v>
      </c>
      <c r="H19" s="33">
        <v>0</v>
      </c>
      <c r="I19" s="33">
        <f>3+3+3+5+5+5+5</f>
        <v>29</v>
      </c>
      <c r="J19" s="33">
        <v>0</v>
      </c>
      <c r="K19" s="34">
        <f>SUM(B19:J19)</f>
        <v>52</v>
      </c>
      <c r="L19" s="33">
        <v>0</v>
      </c>
      <c r="M19" s="33">
        <v>5</v>
      </c>
      <c r="N19" s="33">
        <v>0</v>
      </c>
      <c r="O19" s="34">
        <f>SUM(L19:N19)</f>
        <v>5</v>
      </c>
      <c r="P19" s="33">
        <v>0</v>
      </c>
      <c r="Q19" s="33">
        <v>2</v>
      </c>
      <c r="R19" s="34">
        <f>SUM(P19:Q19)</f>
        <v>2</v>
      </c>
      <c r="S19" s="33">
        <v>3</v>
      </c>
      <c r="T19" s="33">
        <v>0</v>
      </c>
      <c r="U19" s="33">
        <v>4</v>
      </c>
      <c r="V19" s="33">
        <v>0</v>
      </c>
      <c r="W19" s="34">
        <f>SUM(S19:V19)</f>
        <v>7</v>
      </c>
      <c r="X19" s="34">
        <f>K19+O19+R19+W19</f>
        <v>66</v>
      </c>
      <c r="Y19" s="33" t="s">
        <v>63</v>
      </c>
    </row>
    <row r="20" spans="1:25" ht="69.75" customHeight="1">
      <c r="A20" s="50" t="s">
        <v>54</v>
      </c>
      <c r="B20" s="33">
        <v>5</v>
      </c>
      <c r="C20" s="33">
        <v>4</v>
      </c>
      <c r="D20" s="33">
        <v>5</v>
      </c>
      <c r="E20" s="33">
        <v>0</v>
      </c>
      <c r="F20" s="33">
        <v>8</v>
      </c>
      <c r="G20" s="33">
        <v>0</v>
      </c>
      <c r="H20" s="33">
        <v>0</v>
      </c>
      <c r="I20" s="33">
        <f>3+4+2+5+3+3+5+2+6</f>
        <v>33</v>
      </c>
      <c r="J20" s="33">
        <v>0</v>
      </c>
      <c r="K20" s="34">
        <f>SUM(B20:J20)</f>
        <v>55</v>
      </c>
      <c r="L20" s="33">
        <v>0</v>
      </c>
      <c r="M20" s="33">
        <v>5</v>
      </c>
      <c r="N20" s="33">
        <v>0</v>
      </c>
      <c r="O20" s="34">
        <f>SUM(L20:N20)</f>
        <v>5</v>
      </c>
      <c r="P20" s="33">
        <v>0</v>
      </c>
      <c r="Q20" s="33">
        <v>1</v>
      </c>
      <c r="R20" s="34">
        <f>SUM(P20:Q20)</f>
        <v>1</v>
      </c>
      <c r="S20" s="33">
        <v>3</v>
      </c>
      <c r="T20" s="33">
        <v>0</v>
      </c>
      <c r="U20" s="33">
        <v>4</v>
      </c>
      <c r="V20" s="33">
        <v>3</v>
      </c>
      <c r="W20" s="34">
        <f>SUM(S20:V20)</f>
        <v>10</v>
      </c>
      <c r="X20" s="34">
        <f>W20+R20+O20+K20</f>
        <v>71</v>
      </c>
      <c r="Y20" s="33" t="s">
        <v>62</v>
      </c>
    </row>
    <row r="21" spans="1:25" ht="53.25" customHeight="1">
      <c r="A21" s="52" t="s">
        <v>58</v>
      </c>
      <c r="B21" s="71" t="s">
        <v>46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</sheetData>
  <mergeCells count="8">
    <mergeCell ref="B17:Y17"/>
    <mergeCell ref="B21:Y21"/>
    <mergeCell ref="A1:AF1"/>
    <mergeCell ref="B3:K3"/>
    <mergeCell ref="L3:O3"/>
    <mergeCell ref="P3:R3"/>
    <mergeCell ref="S3:W3"/>
    <mergeCell ref="X3:Y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2016-17</vt:lpstr>
      <vt:lpstr>2017-18</vt:lpstr>
      <vt:lpstr>2018-19</vt:lpstr>
      <vt:lpstr>2019-2020</vt:lpstr>
      <vt:lpstr>'2016-17'!Область_печати</vt:lpstr>
      <vt:lpstr>'2018-19'!Область_печати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LAN_OS</dc:creator>
  <cp:lastModifiedBy>Специалист</cp:lastModifiedBy>
  <cp:lastPrinted>2019-08-21T09:29:19Z</cp:lastPrinted>
  <dcterms:created xsi:type="dcterms:W3CDTF">2016-08-22T09:10:05Z</dcterms:created>
  <dcterms:modified xsi:type="dcterms:W3CDTF">2020-08-25T04:40:59Z</dcterms:modified>
</cp:coreProperties>
</file>